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a Nguyen\Desktop\Khu nhà ở Cụm làng nghề HP\0.HS phê duyệt (ĐỢT 1)\"/>
    </mc:Choice>
  </mc:AlternateContent>
  <bookViews>
    <workbookView xWindow="3510" yWindow="2535" windowWidth="21600" windowHeight="11295"/>
  </bookViews>
  <sheets>
    <sheet name="DS phê duyệt đợt 1 (1)" sheetId="2" r:id="rId1"/>
    <sheet name="DS phê duyệt đợt 1" sheetId="1" r:id="rId2"/>
  </sheets>
  <externalReferences>
    <externalReference r:id="rId3"/>
  </externalReferences>
  <definedNames>
    <definedName name="_xlnm.Print_Area" localSheetId="1">'DS phê duyệt đợt 1'!$A$5:$AF$7</definedName>
    <definedName name="_xlnm.Print_Area" localSheetId="0">'DS phê duyệt đợt 1 (1)'!$A$5:$AF$7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G18" i="2" l="1"/>
  <c r="AG17" i="2"/>
  <c r="AF12" i="2"/>
  <c r="AF11" i="2"/>
  <c r="AF10" i="2"/>
  <c r="AF9" i="2"/>
  <c r="AF8" i="2"/>
  <c r="AF7" i="2"/>
  <c r="AG14" i="2"/>
  <c r="W13" i="2" l="1"/>
  <c r="R13" i="2"/>
  <c r="M13" i="2"/>
  <c r="Z12" i="2"/>
  <c r="Y12" i="2"/>
  <c r="O12" i="2"/>
  <c r="N12" i="2"/>
  <c r="X12" i="2" s="1"/>
  <c r="J12" i="2"/>
  <c r="K12" i="2" s="1"/>
  <c r="T12" i="2" s="1"/>
  <c r="U12" i="2" s="1"/>
  <c r="G12" i="2"/>
  <c r="Y11" i="2"/>
  <c r="O11" i="2"/>
  <c r="N11" i="2"/>
  <c r="X11" i="2" s="1"/>
  <c r="H11" i="2"/>
  <c r="G11" i="2"/>
  <c r="Z10" i="2"/>
  <c r="Y10" i="2"/>
  <c r="X10" i="2"/>
  <c r="O10" i="2"/>
  <c r="J10" i="2"/>
  <c r="K10" i="2" s="1"/>
  <c r="T10" i="2" s="1"/>
  <c r="U10" i="2" s="1"/>
  <c r="G10" i="2"/>
  <c r="Z9" i="2"/>
  <c r="Y9" i="2"/>
  <c r="X9" i="2"/>
  <c r="O9" i="2"/>
  <c r="J9" i="2"/>
  <c r="K9" i="2" s="1"/>
  <c r="T9" i="2" s="1"/>
  <c r="U9" i="2" s="1"/>
  <c r="G9" i="2"/>
  <c r="Z8" i="2"/>
  <c r="Y8" i="2"/>
  <c r="X8" i="2"/>
  <c r="O8" i="2"/>
  <c r="J8" i="2"/>
  <c r="I8" i="2"/>
  <c r="H8" i="2"/>
  <c r="G8" i="2"/>
  <c r="AE7" i="2"/>
  <c r="AD7" i="2"/>
  <c r="AC7" i="2"/>
  <c r="AC13" i="2" s="1"/>
  <c r="X7" i="2"/>
  <c r="O7" i="2"/>
  <c r="O13" i="2" s="1"/>
  <c r="N7" i="2"/>
  <c r="AF13" i="2" s="1"/>
  <c r="K7" i="2"/>
  <c r="T7" i="2" s="1"/>
  <c r="J7" i="2"/>
  <c r="G7" i="2"/>
  <c r="O13" i="1"/>
  <c r="M13" i="1"/>
  <c r="K8" i="2" l="1"/>
  <c r="T8" i="2" s="1"/>
  <c r="U8" i="2" s="1"/>
  <c r="AE8" i="2" s="1"/>
  <c r="AG8" i="2" s="1"/>
  <c r="AD9" i="2"/>
  <c r="AE9" i="2"/>
  <c r="AG9" i="2" s="1"/>
  <c r="AG7" i="2"/>
  <c r="AD8" i="2"/>
  <c r="AE10" i="2"/>
  <c r="AD10" i="2"/>
  <c r="AD12" i="2"/>
  <c r="AE12" i="2"/>
  <c r="Y7" i="2"/>
  <c r="Y13" i="2" s="1"/>
  <c r="T11" i="2"/>
  <c r="U11" i="2" s="1"/>
  <c r="U13" i="2" s="1"/>
  <c r="Z11" i="2"/>
  <c r="N13" i="2"/>
  <c r="Z7" i="2"/>
  <c r="Z13" i="2" s="1"/>
  <c r="X13" i="2"/>
  <c r="W13" i="1"/>
  <c r="R13" i="1"/>
  <c r="Z12" i="1"/>
  <c r="Y12" i="1"/>
  <c r="X12" i="1"/>
  <c r="N12" i="1"/>
  <c r="J12" i="1"/>
  <c r="K12" i="1" s="1"/>
  <c r="G12" i="1"/>
  <c r="N11" i="1"/>
  <c r="AF11" i="1" s="1"/>
  <c r="H11" i="1"/>
  <c r="G11" i="1"/>
  <c r="AF10" i="1"/>
  <c r="Z10" i="1"/>
  <c r="Y10" i="1"/>
  <c r="X10" i="1"/>
  <c r="O10" i="1"/>
  <c r="J10" i="1"/>
  <c r="K10" i="1" s="1"/>
  <c r="T10" i="1" s="1"/>
  <c r="U10" i="1" s="1"/>
  <c r="G10" i="1"/>
  <c r="AF9" i="1"/>
  <c r="Z9" i="1"/>
  <c r="Y9" i="1"/>
  <c r="X9" i="1"/>
  <c r="O9" i="1"/>
  <c r="J9" i="1"/>
  <c r="K9" i="1" s="1"/>
  <c r="T9" i="1" s="1"/>
  <c r="U9" i="1" s="1"/>
  <c r="G9" i="1"/>
  <c r="AF8" i="1"/>
  <c r="Z8" i="1"/>
  <c r="Y8" i="1"/>
  <c r="X8" i="1"/>
  <c r="O8" i="1"/>
  <c r="J8" i="1"/>
  <c r="I8" i="1"/>
  <c r="H8" i="1"/>
  <c r="G8" i="1"/>
  <c r="AE7" i="1"/>
  <c r="AD7" i="1"/>
  <c r="AC7" i="1"/>
  <c r="AC13" i="1" s="1"/>
  <c r="O7" i="1"/>
  <c r="N7" i="1"/>
  <c r="AF7" i="1" s="1"/>
  <c r="J7" i="1"/>
  <c r="K7" i="1" s="1"/>
  <c r="T7" i="1" s="1"/>
  <c r="G7" i="1"/>
  <c r="K8" i="1" l="1"/>
  <c r="T8" i="1" s="1"/>
  <c r="U8" i="1" s="1"/>
  <c r="AE8" i="1" s="1"/>
  <c r="AG12" i="2"/>
  <c r="AG10" i="2"/>
  <c r="AE11" i="2"/>
  <c r="AE13" i="2" s="1"/>
  <c r="AD11" i="2"/>
  <c r="AD8" i="1"/>
  <c r="AE10" i="1"/>
  <c r="AD10" i="1"/>
  <c r="T12" i="1"/>
  <c r="U12" i="1" s="1"/>
  <c r="AE9" i="1"/>
  <c r="AD9" i="1"/>
  <c r="T11" i="1"/>
  <c r="U11" i="1" s="1"/>
  <c r="O11" i="1"/>
  <c r="AF12" i="1"/>
  <c r="AF13" i="1" s="1"/>
  <c r="X11" i="1"/>
  <c r="Y11" i="1"/>
  <c r="N13" i="1"/>
  <c r="Z11" i="1"/>
  <c r="X7" i="1"/>
  <c r="Y7" i="1"/>
  <c r="Z7" i="1"/>
  <c r="Z13" i="1" s="1"/>
  <c r="O12" i="1"/>
  <c r="AG9" i="1" l="1"/>
  <c r="AG10" i="1"/>
  <c r="AG8" i="1"/>
  <c r="AD13" i="2"/>
  <c r="AG11" i="2"/>
  <c r="AG13" i="2" s="1"/>
  <c r="AG15" i="2" s="1"/>
  <c r="AE11" i="1"/>
  <c r="AD11" i="1"/>
  <c r="AG11" i="1"/>
  <c r="AG7" i="1"/>
  <c r="X13" i="1"/>
  <c r="AE12" i="1"/>
  <c r="AD12" i="1"/>
  <c r="Y13" i="1"/>
  <c r="U13" i="1"/>
  <c r="AG16" i="2" l="1"/>
  <c r="AE13" i="1"/>
  <c r="AG12" i="1"/>
  <c r="AG13" i="1" s="1"/>
  <c r="AD13" i="1"/>
  <c r="AG15" i="1" l="1"/>
  <c r="AG17" i="1" s="1"/>
</calcChain>
</file>

<file path=xl/comments1.xml><?xml version="1.0" encoding="utf-8"?>
<comments xmlns="http://schemas.openxmlformats.org/spreadsheetml/2006/main">
  <authors>
    <author>Ha Nguyen</author>
  </authors>
  <commentList>
    <comment ref="J7" authorId="0" shapeId="0">
      <text>
        <r>
          <rPr>
            <b/>
            <sz val="9"/>
            <color indexed="81"/>
            <rFont val="Tahoma"/>
            <family val="2"/>
          </rPr>
          <t>Ha Nguyen:</t>
        </r>
        <r>
          <rPr>
            <sz val="9"/>
            <color indexed="81"/>
            <rFont val="Tahoma"/>
            <family val="2"/>
          </rPr>
          <t xml:space="preserve">
Thu hồi đường Sắt 314,7 m2</t>
        </r>
      </text>
    </comment>
  </commentList>
</comments>
</file>

<file path=xl/comments2.xml><?xml version="1.0" encoding="utf-8"?>
<comments xmlns="http://schemas.openxmlformats.org/spreadsheetml/2006/main">
  <authors>
    <author>Ha Nguyen</author>
  </authors>
  <commentList>
    <comment ref="J7" authorId="0" shapeId="0">
      <text>
        <r>
          <rPr>
            <b/>
            <sz val="9"/>
            <color indexed="81"/>
            <rFont val="Tahoma"/>
            <family val="2"/>
          </rPr>
          <t>Ha Nguyen:</t>
        </r>
        <r>
          <rPr>
            <sz val="9"/>
            <color indexed="81"/>
            <rFont val="Tahoma"/>
            <family val="2"/>
          </rPr>
          <t xml:space="preserve">
Thu hồi đường Sắt 314,7 m2</t>
        </r>
      </text>
    </comment>
  </commentList>
</comments>
</file>

<file path=xl/sharedStrings.xml><?xml version="1.0" encoding="utf-8"?>
<sst xmlns="http://schemas.openxmlformats.org/spreadsheetml/2006/main" count="167" uniqueCount="65">
  <si>
    <t>PHỤ LỤC CHI TIẾT</t>
  </si>
  <si>
    <t>(Kèm theo Tờ trình số:         /TTr-BQLDA ngày         tháng        năm             của Ban Quản lý dự án đầu tư xây dựng phường Thượng Hồng)</t>
  </si>
  <si>
    <t>STT</t>
  </si>
  <si>
    <t>Họ và tên (vợ hoặc chồng) hoặc người thừa kế hợp pháp</t>
  </si>
  <si>
    <t>Địa chỉ</t>
  </si>
  <si>
    <t>Suất</t>
  </si>
  <si>
    <t>Diện tích được giao theo tiêu chuẩn (610m2/người)</t>
  </si>
  <si>
    <t>Vườn thừa</t>
  </si>
  <si>
    <t>Diện tích sau khi DTĐR (m2)</t>
  </si>
  <si>
    <t>Diện tích đã thu hồi (m2)</t>
  </si>
  <si>
    <t>Diện tích đang sử dụng (m2)</t>
  </si>
  <si>
    <t>THÔNG TIN VỀ THỬA ĐẤT THU HỒI</t>
  </si>
  <si>
    <t>Mục đích sử dụng đất</t>
  </si>
  <si>
    <t>Tỉ lệ phần trăm để hỗ trợ gạo</t>
  </si>
  <si>
    <t>Số tháng hỗ trợ gạo</t>
  </si>
  <si>
    <t>Khẩu ăn gạo( hỗ trợ ổn định đời sống)</t>
  </si>
  <si>
    <t>Số khẩu hiện tại</t>
  </si>
  <si>
    <t>Bồi thường thiệt hại đất nông nghiệp (90.000đ/m2)</t>
  </si>
  <si>
    <t>Bồi thường thiệt hại hoa màu (10.000đ/m2)</t>
  </si>
  <si>
    <t>Hỗ trợ chuyển đổi nghề và tạo việc làm (3 x 90.000đ/m2)</t>
  </si>
  <si>
    <t>Hỗ trợ ổn định đời sống</t>
  </si>
  <si>
    <t>Thưởng tiến độ (30.000đ/m2)</t>
  </si>
  <si>
    <t>Tổng</t>
  </si>
  <si>
    <t>Ghi chú (đã tạm ứng chi trả)</t>
  </si>
  <si>
    <t>Xứ đồng</t>
  </si>
  <si>
    <t>Diện tích thu hồi (m2)</t>
  </si>
  <si>
    <t>Đất UB</t>
  </si>
  <si>
    <t>Số tờ trích lục</t>
  </si>
  <si>
    <t>Số thửa trích lục</t>
  </si>
  <si>
    <t>DT thửa trích lục</t>
  </si>
  <si>
    <t>Hỗ trợ hộ có diện tích đất TH từ dưới 10% (2 tháng)</t>
  </si>
  <si>
    <t>Hỗ trợ hộ có diện tích đất TH từ 10%-20% (3 tháng)</t>
  </si>
  <si>
    <t>Hỗ trợ hộ có diện tích đất TH từ 20%-30% (5 tháng)</t>
  </si>
  <si>
    <t>Hỗ trợ hộ có diện tích đất TH từ 30%-70% (6 tháng)</t>
  </si>
  <si>
    <t>Hỗ trợ ổn định đời sống (DT thu hồi &gt;70%) - 12 tháng</t>
  </si>
  <si>
    <t>hồ sơ kết quả nhận ruộng sau khi dồn thửa đổi ruộng năm 2013</t>
  </si>
  <si>
    <t xml:space="preserve">Nguyễn Xuân Tự (Bùi Thị Miện) </t>
  </si>
  <si>
    <t>TDP Mỹ Hòa</t>
  </si>
  <si>
    <t>Đồng Biến Thế</t>
  </si>
  <si>
    <t>LUC</t>
  </si>
  <si>
    <t>bà miện, huy, nguyệt,+2 con, luy</t>
  </si>
  <si>
    <t>Đã nhận tiền</t>
  </si>
  <si>
    <t>Bùi Văn Thơ (Đặng Thị Mát)</t>
  </si>
  <si>
    <t>Bùi Văn Thơ, Đặng Thị Mát, Đặng Thị Thu, Bùi Quốc Thái, Đào Thị Thủy, Bùi Hồng Thắng, Bùi VĂn Thì (0.5).</t>
  </si>
  <si>
    <r>
      <rPr>
        <sz val="13"/>
        <rFont val="Times New Roman"/>
        <family val="1"/>
      </rPr>
      <t>Bùi Văn Thơ, Đặng Thị Mát, Đặng Thị Thu, Bùi Quốc Thái, Đào Thị Thủy( vợ Thái), Bùi Hồng Thắng,</t>
    </r>
    <r>
      <rPr>
        <sz val="13"/>
        <rFont val="Times New Roman"/>
        <family val="1"/>
      </rPr>
      <t xml:space="preserve"> Bùi Hà My( con Thái), Bùi Minh Nguyên( con Thái), Bùi Hà Linh( con Thắng), Bùi Gia Bảo( con Thắng)</t>
    </r>
    <r>
      <rPr>
        <sz val="13"/>
        <rFont val="Times New Roman"/>
        <family val="1"/>
      </rPr>
      <t>,Vũ Thị Nhung( vợ Thắng)</t>
    </r>
  </si>
  <si>
    <t>Bùi Văn Hướng (Bùi Văn Hồi)</t>
  </si>
  <si>
    <t>Bùi Văn Hướng + vợ và 02 con</t>
  </si>
  <si>
    <t>Vũ Văn Đạo (Đào Thị Thi)</t>
  </si>
  <si>
    <t>Vũ Văn Đạo, Đào Thị Thi, Vũ Quang Đạt</t>
  </si>
  <si>
    <t>Đồng Chỉ Cậy</t>
  </si>
  <si>
    <t>Vũ Văn Đạo, Đào Thị Thi, Vũ Quang Đạt( + 1 vk + 1con),  Vũ Thị Thu Quyên( con ông Đạo)</t>
  </si>
  <si>
    <t>Vũ Xuân Hành (Vũ Thị Tuyết)</t>
  </si>
  <si>
    <t>Vũ Xuân Hành,Vũ Thị Tuyết, Vũ Văn Hải (đã chết), Vũ Văn Sơn</t>
  </si>
  <si>
    <t>Vũ Xuân Hành,Vũ Thị Tuyết, Vũ Văn Sơn</t>
  </si>
  <si>
    <t>Bùi Tiến Sỹ (Vũ Thị Thu Hương)</t>
  </si>
  <si>
    <t>Bùi Tiến Sỹ , Vũ Thị Thu Hương</t>
  </si>
  <si>
    <t>Bùi Tiến Sỹ , Vũ Thị Thu Hương, Bùi Văn Hiệp, Bùi Văn Phong</t>
  </si>
  <si>
    <t>TỔNG CỘNG</t>
  </si>
  <si>
    <t>Nhân khẩu được người giao ruộng</t>
  </si>
  <si>
    <t>Bùi Thị Miện (chủ Hộ), Nguyễn Văn Huy, Vũ Thị Nguyệt (con dâu), Nguyễn Thị Luy (con Gái)</t>
  </si>
  <si>
    <t>Bùi Văn Hướng (Bùi Văn Hồi), ông Hồi (chết)</t>
  </si>
  <si>
    <t>Diện tích thửa thu hồi (m2)</t>
  </si>
  <si>
    <t>PHƯƠNG ÁN BỒI THƯỜNG, HỖ TRỢ KHI NHÀ NƯỚC THU HỒI ĐỂ GPMB THỰC HIỆN DỰ ÁN ĐẦU TƯ XÂY DỰNG KHU DÂN CƯ MỚI LÀNG NGHỀ HÒA PHONG TẠI PHƯỜNG THƯỢNG HỒNG (ĐỢT 1)</t>
  </si>
  <si>
    <t>HT phường</t>
  </si>
  <si>
    <t>Bùi Văn Thơ, Đặng Thị Mát, Đặng Thị Thu, Bùi Quốc Thái, Đào Thị Thủy( vợ Thái), Bùi Hồng Thắng, Bùi Hà My( con Thái), Bùi Minh Nguyên( con Thái), Bùi Hà Linh( con Thắng), Bùi Gia Bảo( con Thắng),Vũ Thị Nhung( vợ Thắng)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</si>
</sst>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_);_(* \(#,##0\);_(* &quot;-&quot;_);_(@_)"/>
    <numFmt numFmtId="165" formatCode="_-* #,##0.00\ _₫_-;\-* #,##0.00\ _₫_-;_-* &quot;-&quot;??\ _₫_-;_-@_-"/>
    <numFmt numFmtId="166" formatCode="_-* #,##0\ _₫_-;\-* #,##0\ _₫_-;_-* &quot;-&quot;??\ _₫_-;_-@_-"/>
    <numFmt numFmtId="167" formatCode="0.0"/>
    <numFmt numFmtId="168" formatCode="0.0%"/>
    <numFmt numFmtId="169" formatCode="_-* #,##0.0\ _₫_-;\-* #,##0.0\ _₫_-;_-* &quot;-&quot;??\ _₫_-;_-@_-"/>
  </numFmts>
  <fonts count="14" x14ac:knownFonts="1">
    <font>
      <sz val="11"/>
      <color theme="1"/>
      <name val="Calibri"/>
      <family val="2"/>
      <scheme val="minor"/>
    </font>
    <font>
      <sz val="11"/>
      <color theme="1"/>
      <name val="Calibri"/>
      <family val="2"/>
      <scheme val="minor"/>
    </font>
    <font>
      <b/>
      <sz val="13"/>
      <color theme="1"/>
      <name val="Times New Roman"/>
      <family val="1"/>
    </font>
    <font>
      <sz val="13"/>
      <color theme="1"/>
      <name val="Times New Roman"/>
      <family val="1"/>
    </font>
    <font>
      <i/>
      <sz val="13"/>
      <color theme="1"/>
      <name val="Times New Roman"/>
      <family val="1"/>
    </font>
    <font>
      <b/>
      <i/>
      <sz val="13"/>
      <color theme="1"/>
      <name val="Times New Roman"/>
      <family val="1"/>
    </font>
    <font>
      <b/>
      <i/>
      <sz val="14"/>
      <color theme="1"/>
      <name val="Times New Roman"/>
      <family val="1"/>
    </font>
    <font>
      <b/>
      <sz val="14"/>
      <color theme="1"/>
      <name val="Times New Roman"/>
      <family val="1"/>
    </font>
    <font>
      <sz val="13"/>
      <name val="Times New Roman"/>
      <family val="1"/>
    </font>
    <font>
      <sz val="12"/>
      <name val="Times New Roman"/>
      <family val="1"/>
    </font>
    <font>
      <sz val="11"/>
      <color indexed="8"/>
      <name val="Calibri"/>
      <family val="2"/>
    </font>
    <font>
      <b/>
      <sz val="9"/>
      <color indexed="81"/>
      <name val="Tahoma"/>
      <family val="2"/>
    </font>
    <font>
      <sz val="9"/>
      <color indexed="81"/>
      <name val="Tahoma"/>
      <family val="2"/>
    </font>
    <font>
      <i/>
      <sz val="14"/>
      <color theme="1"/>
      <name val="Times New Roman"/>
      <family val="1"/>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3">
    <xf numFmtId="0" fontId="0" fillId="0" borderId="0"/>
    <xf numFmtId="165" fontId="1" fillId="0" borderId="0" applyFont="0" applyFill="0" applyBorder="0" applyAlignment="0" applyProtection="0"/>
    <xf numFmtId="9" fontId="10" fillId="0" borderId="0" applyFont="0" applyFill="0" applyBorder="0" applyAlignment="0" applyProtection="0"/>
  </cellStyleXfs>
  <cellXfs count="81">
    <xf numFmtId="0" fontId="0" fillId="0" borderId="0" xfId="0"/>
    <xf numFmtId="0" fontId="3" fillId="0" borderId="0" xfId="0" applyFont="1"/>
    <xf numFmtId="0" fontId="5" fillId="0" borderId="0" xfId="0" applyFont="1" applyAlignment="1">
      <alignment horizontal="center" vertical="center"/>
    </xf>
    <xf numFmtId="0" fontId="5" fillId="0" borderId="0" xfId="0" applyFont="1" applyAlignment="1">
      <alignment horizontal="left"/>
    </xf>
    <xf numFmtId="0" fontId="5" fillId="0" borderId="0" xfId="0" applyFont="1" applyAlignment="1">
      <alignment horizontal="center"/>
    </xf>
    <xf numFmtId="0" fontId="4" fillId="0" borderId="0" xfId="0" applyFont="1" applyAlignment="1">
      <alignment horizontal="center"/>
    </xf>
    <xf numFmtId="0" fontId="6" fillId="0" borderId="0" xfId="0" applyFont="1" applyAlignment="1">
      <alignment horizontal="center"/>
    </xf>
    <xf numFmtId="166" fontId="5" fillId="0" borderId="0" xfId="1" applyNumberFormat="1" applyFont="1" applyAlignment="1">
      <alignment horizontal="center"/>
    </xf>
    <xf numFmtId="0" fontId="2" fillId="0" borderId="2" xfId="0" applyFont="1" applyBorder="1" applyAlignment="1">
      <alignment horizontal="center" vertical="center" wrapText="1"/>
    </xf>
    <xf numFmtId="0" fontId="3" fillId="0" borderId="0" xfId="0" applyFont="1" applyAlignment="1">
      <alignment vertical="center" wrapText="1"/>
    </xf>
    <xf numFmtId="0" fontId="3" fillId="0" borderId="2" xfId="0" applyFont="1" applyBorder="1" applyAlignment="1">
      <alignment horizontal="center" vertical="center" wrapText="1"/>
    </xf>
    <xf numFmtId="0" fontId="8" fillId="0" borderId="2" xfId="0" applyFont="1" applyBorder="1" applyAlignment="1">
      <alignment horizontal="center" vertical="center"/>
    </xf>
    <xf numFmtId="0" fontId="9" fillId="2" borderId="2" xfId="0" applyFont="1" applyFill="1" applyBorder="1" applyAlignment="1">
      <alignment horizontal="left" vertical="center" wrapText="1"/>
    </xf>
    <xf numFmtId="0" fontId="8" fillId="0" borderId="2" xfId="0" applyFont="1" applyBorder="1" applyAlignment="1">
      <alignment horizontal="left"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xf>
    <xf numFmtId="0" fontId="3" fillId="0" borderId="2" xfId="0" applyFont="1" applyBorder="1" applyAlignment="1">
      <alignment horizontal="center" vertical="center"/>
    </xf>
    <xf numFmtId="164" fontId="8" fillId="0" borderId="2" xfId="0" applyNumberFormat="1" applyFont="1" applyBorder="1" applyAlignment="1">
      <alignment horizontal="center" vertical="center" wrapText="1"/>
    </xf>
    <xf numFmtId="168" fontId="8" fillId="0" borderId="2" xfId="2" applyNumberFormat="1" applyFont="1" applyFill="1" applyBorder="1" applyAlignment="1">
      <alignment horizontal="center" vertical="center" wrapText="1"/>
    </xf>
    <xf numFmtId="164" fontId="3" fillId="0" borderId="2" xfId="0" applyNumberFormat="1" applyFont="1" applyBorder="1" applyAlignment="1">
      <alignment horizontal="center" vertical="center" wrapText="1"/>
    </xf>
    <xf numFmtId="164" fontId="3" fillId="0" borderId="2" xfId="2" applyNumberFormat="1" applyFont="1" applyFill="1" applyBorder="1" applyAlignment="1">
      <alignment horizontal="right" vertical="center" wrapText="1"/>
    </xf>
    <xf numFmtId="164" fontId="7" fillId="0" borderId="2" xfId="2" applyNumberFormat="1" applyFont="1" applyFill="1" applyBorder="1" applyAlignment="1">
      <alignment horizontal="right" vertical="center" wrapText="1"/>
    </xf>
    <xf numFmtId="166" fontId="8" fillId="0" borderId="2" xfId="1" applyNumberFormat="1" applyFont="1" applyBorder="1" applyAlignment="1">
      <alignment horizontal="center" vertical="center"/>
    </xf>
    <xf numFmtId="0" fontId="8" fillId="0" borderId="0" xfId="0" applyFont="1" applyAlignment="1">
      <alignment vertical="center"/>
    </xf>
    <xf numFmtId="0" fontId="8" fillId="0" borderId="0" xfId="0" applyFont="1"/>
    <xf numFmtId="0" fontId="8" fillId="2" borderId="2" xfId="0" applyFont="1" applyFill="1" applyBorder="1" applyAlignment="1">
      <alignment horizontal="center" vertical="center" wrapText="1"/>
    </xf>
    <xf numFmtId="0" fontId="8" fillId="2" borderId="2" xfId="0" applyFont="1" applyFill="1" applyBorder="1" applyAlignment="1">
      <alignment horizontal="center" vertical="center"/>
    </xf>
    <xf numFmtId="0" fontId="8" fillId="2" borderId="2" xfId="0" applyFont="1" applyFill="1" applyBorder="1" applyAlignment="1">
      <alignment horizontal="left" vertical="center" wrapText="1"/>
    </xf>
    <xf numFmtId="164" fontId="8" fillId="2" borderId="2" xfId="0" applyNumberFormat="1" applyFont="1" applyFill="1" applyBorder="1" applyAlignment="1">
      <alignment horizontal="center" vertical="center" wrapText="1"/>
    </xf>
    <xf numFmtId="9" fontId="8" fillId="0" borderId="2" xfId="2" applyFont="1" applyFill="1" applyBorder="1" applyAlignment="1">
      <alignment horizontal="center" vertical="center" wrapText="1"/>
    </xf>
    <xf numFmtId="166" fontId="8" fillId="2" borderId="2" xfId="1" applyNumberFormat="1" applyFont="1" applyFill="1" applyBorder="1" applyAlignment="1">
      <alignment horizontal="center" vertical="center"/>
    </xf>
    <xf numFmtId="0" fontId="8" fillId="2" borderId="0" xfId="0" applyFont="1" applyFill="1"/>
    <xf numFmtId="2" fontId="8" fillId="2" borderId="2" xfId="0" applyNumberFormat="1" applyFont="1" applyFill="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left"/>
    </xf>
    <xf numFmtId="0" fontId="2" fillId="0" borderId="2" xfId="0" applyFont="1" applyBorder="1"/>
    <xf numFmtId="166" fontId="2" fillId="0" borderId="2" xfId="1" applyNumberFormat="1" applyFont="1" applyFill="1" applyBorder="1"/>
    <xf numFmtId="166" fontId="2" fillId="0" borderId="2" xfId="1" applyNumberFormat="1" applyFont="1" applyBorder="1" applyAlignment="1">
      <alignment horizontal="center"/>
    </xf>
    <xf numFmtId="0" fontId="2" fillId="0" borderId="0" xfId="0" applyFont="1"/>
    <xf numFmtId="0" fontId="3" fillId="0" borderId="0" xfId="0" applyFont="1" applyAlignment="1">
      <alignment horizontal="center" vertical="center"/>
    </xf>
    <xf numFmtId="0" fontId="3" fillId="0" borderId="0" xfId="0" applyFont="1" applyAlignment="1">
      <alignment horizontal="left"/>
    </xf>
    <xf numFmtId="0" fontId="3" fillId="0" borderId="0" xfId="0" applyFont="1" applyAlignment="1">
      <alignment horizontal="center"/>
    </xf>
    <xf numFmtId="166" fontId="3" fillId="0" borderId="0" xfId="1" applyNumberFormat="1" applyFont="1" applyAlignment="1">
      <alignment horizontal="center"/>
    </xf>
    <xf numFmtId="0" fontId="7" fillId="0" borderId="0" xfId="0" applyFont="1" applyAlignment="1">
      <alignment horizontal="center"/>
    </xf>
    <xf numFmtId="0" fontId="2" fillId="0" borderId="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7" xfId="0" applyFont="1" applyBorder="1" applyAlignment="1">
      <alignment horizontal="center" vertical="center" wrapText="1"/>
    </xf>
    <xf numFmtId="166" fontId="2" fillId="0" borderId="1" xfId="1" applyNumberFormat="1" applyFont="1" applyBorder="1" applyAlignment="1">
      <alignment horizontal="center" vertical="center" wrapText="1"/>
    </xf>
    <xf numFmtId="166" fontId="2" fillId="0" borderId="6" xfId="1" applyNumberFormat="1" applyFont="1" applyBorder="1" applyAlignment="1">
      <alignment horizontal="center" vertical="center" wrapText="1"/>
    </xf>
    <xf numFmtId="0" fontId="2" fillId="0" borderId="6" xfId="0" applyFont="1" applyBorder="1" applyAlignment="1">
      <alignment horizontal="center" vertical="center" wrapText="1"/>
    </xf>
    <xf numFmtId="0" fontId="4" fillId="0" borderId="0" xfId="0" applyFont="1" applyFill="1" applyAlignment="1">
      <alignment horizontal="center"/>
    </xf>
    <xf numFmtId="0" fontId="5" fillId="0" borderId="0" xfId="0" applyFont="1" applyFill="1" applyAlignment="1">
      <alignment horizont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2"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2" xfId="0" applyFont="1" applyFill="1" applyBorder="1" applyAlignment="1">
      <alignment horizontal="left" vertical="center" wrapText="1"/>
    </xf>
    <xf numFmtId="0" fontId="8" fillId="0" borderId="2" xfId="0" applyFont="1" applyFill="1" applyBorder="1" applyAlignment="1">
      <alignment horizontal="center" vertical="center" wrapText="1"/>
    </xf>
    <xf numFmtId="167" fontId="3" fillId="0" borderId="2" xfId="0" applyNumberFormat="1" applyFont="1" applyFill="1" applyBorder="1" applyAlignment="1">
      <alignment horizontal="center" vertical="center" wrapText="1"/>
    </xf>
    <xf numFmtId="0" fontId="2" fillId="0" borderId="2" xfId="0" applyFont="1" applyFill="1" applyBorder="1" applyAlignment="1">
      <alignment horizontal="center"/>
    </xf>
    <xf numFmtId="0" fontId="2" fillId="0" borderId="2" xfId="0" applyFont="1" applyFill="1" applyBorder="1"/>
    <xf numFmtId="0" fontId="3" fillId="0" borderId="0" xfId="0" applyFont="1" applyFill="1" applyAlignment="1">
      <alignment horizontal="center"/>
    </xf>
    <xf numFmtId="0" fontId="3" fillId="0" borderId="0" xfId="0" applyFont="1" applyFill="1"/>
    <xf numFmtId="0" fontId="3" fillId="0" borderId="0" xfId="0" applyFont="1" applyFill="1" applyAlignment="1">
      <alignment horizontal="left" vertical="center"/>
    </xf>
    <xf numFmtId="0" fontId="3" fillId="0" borderId="0" xfId="0" applyFont="1" applyFill="1" applyAlignment="1">
      <alignment horizontal="center" vertical="center"/>
    </xf>
    <xf numFmtId="164" fontId="7" fillId="0" borderId="0" xfId="0" applyNumberFormat="1" applyFont="1" applyFill="1" applyAlignment="1">
      <alignment horizontal="center"/>
    </xf>
    <xf numFmtId="169" fontId="2" fillId="0" borderId="2" xfId="1" applyNumberFormat="1" applyFont="1" applyFill="1" applyBorder="1"/>
    <xf numFmtId="9" fontId="3" fillId="0" borderId="0" xfId="0" applyNumberFormat="1" applyFont="1" applyFill="1" applyAlignment="1">
      <alignment horizontal="center"/>
    </xf>
    <xf numFmtId="166" fontId="7" fillId="0" borderId="0" xfId="0" applyNumberFormat="1" applyFont="1" applyAlignment="1">
      <alignment horizontal="center"/>
    </xf>
    <xf numFmtId="0" fontId="7" fillId="0" borderId="0" xfId="0" applyFont="1" applyAlignment="1">
      <alignment horizontal="center" vertical="center" wrapText="1"/>
    </xf>
    <xf numFmtId="0" fontId="13" fillId="0" borderId="0" xfId="0" applyFont="1" applyAlignment="1">
      <alignment horizontal="center" vertical="center" wrapText="1"/>
    </xf>
    <xf numFmtId="0" fontId="7" fillId="0" borderId="0" xfId="0" applyFont="1" applyAlignment="1">
      <alignment horizontal="center" vertical="center"/>
    </xf>
    <xf numFmtId="166" fontId="7" fillId="0" borderId="0" xfId="1" applyNumberFormat="1" applyFont="1" applyAlignment="1">
      <alignment horizontal="center"/>
    </xf>
    <xf numFmtId="164" fontId="2" fillId="0" borderId="2" xfId="2" applyNumberFormat="1" applyFont="1" applyFill="1" applyBorder="1" applyAlignment="1">
      <alignment horizontal="right" vertical="center" wrapText="1"/>
    </xf>
  </cellXfs>
  <cellStyles count="3">
    <cellStyle name="Comma" xfId="1" builtinId="3"/>
    <cellStyle name="Normal" xfId="0" builtinId="0"/>
    <cellStyle name="Percent" xfId="2" builtinId="5"/>
  </cellStyles>
  <dxfs count="2">
    <dxf>
      <fill>
        <patternFill patternType="solid">
          <bgColor theme="2" tint="-9.9887081514938816E-2"/>
        </patternFill>
      </fill>
    </dxf>
    <dxf>
      <fill>
        <patternFill patternType="solid">
          <bgColor theme="2" tint="-9.9887081514938816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7891;ng/H&#244;&#768;ng/H&#244;&#768;ng%20ha&#777;i/D&#7921;%20&#225;n%202018/C&#7909;m%20C&#244;ng%20nghi&#7879;p%20L&#224;ng%20Ngh&#7873;%20H&#242;a%20Phong/P.an%20langnghe%20HOA%20PHONG%20(1)%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 bồi thường"/>
      <sheetName val="in kèm "/>
      <sheetName val="thược"/>
      <sheetName val="Quyết Toán"/>
      <sheetName val="Danh sách ký nhận tiền"/>
      <sheetName val="D.A CUM CN LÀNG NGHỀ"/>
      <sheetName val="D.A Chợ"/>
      <sheetName val="D.A Chợ (2)"/>
      <sheetName val="Thưởng tiến độ CỤM LÀNG NGHỀ"/>
      <sheetName val="Thưởng TĐ CHợ"/>
      <sheetName val="Sheet1"/>
      <sheetName val="DS kèm BB xét duyệt nguồn gốc"/>
      <sheetName val="DS hỗ trợ gạo"/>
      <sheetName val="Sheet2"/>
    </sheetNames>
    <sheetDataSet>
      <sheetData sheetId="0"/>
      <sheetData sheetId="1"/>
      <sheetData sheetId="2"/>
      <sheetData sheetId="3"/>
      <sheetData sheetId="4"/>
      <sheetData sheetId="5">
        <row r="21">
          <cell r="G21">
            <v>130</v>
          </cell>
          <cell r="H21">
            <v>3315</v>
          </cell>
          <cell r="N21">
            <v>2664</v>
          </cell>
        </row>
        <row r="23">
          <cell r="N23">
            <v>152</v>
          </cell>
        </row>
        <row r="38">
          <cell r="N38">
            <v>1197</v>
          </cell>
        </row>
        <row r="40">
          <cell r="G40">
            <v>80</v>
          </cell>
        </row>
        <row r="41">
          <cell r="N41">
            <v>406</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AI18"/>
  <sheetViews>
    <sheetView tabSelected="1" zoomScale="70" zoomScaleNormal="70" workbookViewId="0">
      <pane xSplit="4" ySplit="6" topLeftCell="Z8" activePane="bottomRight" state="frozen"/>
      <selection pane="topRight"/>
      <selection pane="bottomLeft"/>
      <selection pane="bottomRight" activeCell="Z15" sqref="Z15"/>
    </sheetView>
  </sheetViews>
  <sheetFormatPr defaultColWidth="9.28515625" defaultRowHeight="18.75" x14ac:dyDescent="0.3"/>
  <cols>
    <col min="1" max="1" width="6.42578125" style="39" customWidth="1"/>
    <col min="2" max="2" width="8.140625" style="39" hidden="1" customWidth="1"/>
    <col min="3" max="3" width="18.7109375" style="40" customWidth="1"/>
    <col min="4" max="4" width="9.5703125" style="1" customWidth="1"/>
    <col min="5" max="5" width="8.28515625" style="68" customWidth="1"/>
    <col min="6" max="6" width="23.42578125" style="68" customWidth="1"/>
    <col min="7" max="7" width="12.42578125" style="69" customWidth="1"/>
    <col min="8" max="8" width="9" style="69" hidden="1" customWidth="1"/>
    <col min="9" max="9" width="11.5703125" style="69" hidden="1" customWidth="1"/>
    <col min="10" max="10" width="9.5703125" style="68" customWidth="1"/>
    <col min="11" max="11" width="11.5703125" style="69" customWidth="1"/>
    <col min="12" max="12" width="12" style="70" customWidth="1"/>
    <col min="13" max="13" width="12.42578125" style="70" customWidth="1"/>
    <col min="14" max="14" width="13.28515625" style="71" customWidth="1"/>
    <col min="15" max="15" width="8.7109375" style="71" customWidth="1"/>
    <col min="16" max="16" width="9.5703125" style="39" customWidth="1"/>
    <col min="17" max="17" width="8.85546875" style="39" customWidth="1"/>
    <col min="18" max="18" width="11.140625" style="39" hidden="1" customWidth="1"/>
    <col min="19" max="19" width="9.140625" style="41" customWidth="1"/>
    <col min="20" max="20" width="9.5703125" style="41" customWidth="1"/>
    <col min="21" max="21" width="9.7109375" style="41" customWidth="1"/>
    <col min="22" max="22" width="36.140625" style="41" hidden="1" customWidth="1"/>
    <col min="23" max="23" width="9.28515625" style="41" customWidth="1"/>
    <col min="24" max="24" width="17.28515625" style="41" customWidth="1"/>
    <col min="25" max="25" width="17.140625" style="41" customWidth="1"/>
    <col min="26" max="26" width="17.42578125" style="41" customWidth="1"/>
    <col min="27" max="27" width="19" style="41" hidden="1" customWidth="1"/>
    <col min="28" max="28" width="20.28515625" style="41" hidden="1" customWidth="1"/>
    <col min="29" max="29" width="17.42578125" style="41" customWidth="1"/>
    <col min="30" max="30" width="19.85546875" style="41" hidden="1" customWidth="1"/>
    <col min="31" max="31" width="18.140625" style="41" customWidth="1"/>
    <col min="32" max="32" width="17.28515625" style="41" customWidth="1"/>
    <col min="33" max="33" width="22.5703125" style="43" customWidth="1"/>
    <col min="34" max="34" width="21.28515625" style="42" hidden="1" customWidth="1"/>
    <col min="35" max="35" width="3" style="1" hidden="1" customWidth="1"/>
    <col min="36" max="16384" width="9.28515625" style="1"/>
  </cols>
  <sheetData>
    <row r="1" spans="1:35" ht="23.25" customHeight="1" x14ac:dyDescent="0.25">
      <c r="A1" s="78" t="s">
        <v>0</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5" ht="33.75" customHeight="1" x14ac:dyDescent="0.25">
      <c r="A2" s="76" t="s">
        <v>62</v>
      </c>
      <c r="B2" s="76"/>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row>
    <row r="3" spans="1:35" ht="25.5" customHeight="1" x14ac:dyDescent="0.25">
      <c r="A3" s="77" t="s">
        <v>1</v>
      </c>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row>
    <row r="4" spans="1:35" ht="18" customHeight="1" x14ac:dyDescent="0.35">
      <c r="A4" s="2"/>
      <c r="B4" s="2"/>
      <c r="C4" s="3"/>
      <c r="D4" s="4"/>
      <c r="E4" s="54"/>
      <c r="F4" s="54"/>
      <c r="G4" s="54"/>
      <c r="H4" s="54"/>
      <c r="I4" s="55"/>
      <c r="J4" s="54"/>
      <c r="K4" s="54"/>
      <c r="L4" s="56"/>
      <c r="M4" s="56"/>
      <c r="N4" s="57"/>
      <c r="O4" s="57"/>
      <c r="P4" s="2"/>
      <c r="Q4" s="2"/>
      <c r="R4" s="2"/>
      <c r="S4" s="4"/>
      <c r="T4" s="4"/>
      <c r="U4" s="4"/>
      <c r="V4" s="4"/>
      <c r="W4" s="4"/>
      <c r="X4" s="4"/>
      <c r="Y4" s="4"/>
      <c r="Z4" s="4"/>
      <c r="AA4" s="4"/>
      <c r="AB4" s="4"/>
      <c r="AC4" s="4"/>
      <c r="AD4" s="4"/>
      <c r="AE4" s="4"/>
      <c r="AF4" s="5"/>
      <c r="AG4" s="6"/>
      <c r="AH4" s="7"/>
    </row>
    <row r="5" spans="1:35" ht="37.15" customHeight="1" x14ac:dyDescent="0.25">
      <c r="A5" s="44" t="s">
        <v>2</v>
      </c>
      <c r="B5" s="44"/>
      <c r="C5" s="44" t="s">
        <v>3</v>
      </c>
      <c r="D5" s="44" t="s">
        <v>4</v>
      </c>
      <c r="E5" s="58" t="s">
        <v>5</v>
      </c>
      <c r="F5" s="59" t="s">
        <v>58</v>
      </c>
      <c r="G5" s="58" t="s">
        <v>6</v>
      </c>
      <c r="H5" s="59" t="s">
        <v>7</v>
      </c>
      <c r="I5" s="58" t="s">
        <v>8</v>
      </c>
      <c r="J5" s="58" t="s">
        <v>9</v>
      </c>
      <c r="K5" s="58" t="s">
        <v>10</v>
      </c>
      <c r="L5" s="47" t="s">
        <v>11</v>
      </c>
      <c r="M5" s="47"/>
      <c r="N5" s="47"/>
      <c r="O5" s="47"/>
      <c r="P5" s="47"/>
      <c r="Q5" s="47"/>
      <c r="R5" s="48"/>
      <c r="S5" s="44" t="s">
        <v>12</v>
      </c>
      <c r="T5" s="44" t="s">
        <v>13</v>
      </c>
      <c r="U5" s="44" t="s">
        <v>14</v>
      </c>
      <c r="V5" s="44" t="s">
        <v>15</v>
      </c>
      <c r="W5" s="44" t="s">
        <v>16</v>
      </c>
      <c r="X5" s="44" t="s">
        <v>17</v>
      </c>
      <c r="Y5" s="44" t="s">
        <v>18</v>
      </c>
      <c r="Z5" s="44" t="s">
        <v>19</v>
      </c>
      <c r="AA5" s="46" t="s">
        <v>20</v>
      </c>
      <c r="AB5" s="47"/>
      <c r="AC5" s="47"/>
      <c r="AD5" s="47"/>
      <c r="AE5" s="48"/>
      <c r="AF5" s="44" t="s">
        <v>21</v>
      </c>
      <c r="AG5" s="44" t="s">
        <v>22</v>
      </c>
      <c r="AH5" s="51" t="s">
        <v>23</v>
      </c>
    </row>
    <row r="6" spans="1:35" ht="69.75" customHeight="1" x14ac:dyDescent="0.25">
      <c r="A6" s="53"/>
      <c r="B6" s="45"/>
      <c r="C6" s="45"/>
      <c r="D6" s="53"/>
      <c r="E6" s="58"/>
      <c r="F6" s="60"/>
      <c r="G6" s="58"/>
      <c r="H6" s="60"/>
      <c r="I6" s="58"/>
      <c r="J6" s="58"/>
      <c r="K6" s="58"/>
      <c r="L6" s="61" t="s">
        <v>24</v>
      </c>
      <c r="M6" s="61" t="s">
        <v>61</v>
      </c>
      <c r="N6" s="61" t="s">
        <v>25</v>
      </c>
      <c r="O6" s="61" t="s">
        <v>26</v>
      </c>
      <c r="P6" s="8" t="s">
        <v>27</v>
      </c>
      <c r="Q6" s="8" t="s">
        <v>28</v>
      </c>
      <c r="R6" s="8" t="s">
        <v>29</v>
      </c>
      <c r="S6" s="45"/>
      <c r="T6" s="53"/>
      <c r="U6" s="45"/>
      <c r="V6" s="45"/>
      <c r="W6" s="45"/>
      <c r="X6" s="45"/>
      <c r="Y6" s="45"/>
      <c r="Z6" s="45"/>
      <c r="AA6" s="8" t="s">
        <v>30</v>
      </c>
      <c r="AB6" s="8" t="s">
        <v>31</v>
      </c>
      <c r="AC6" s="8" t="s">
        <v>32</v>
      </c>
      <c r="AD6" s="8" t="s">
        <v>33</v>
      </c>
      <c r="AE6" s="8" t="s">
        <v>34</v>
      </c>
      <c r="AF6" s="45"/>
      <c r="AG6" s="45"/>
      <c r="AH6" s="52"/>
      <c r="AI6" s="9" t="s">
        <v>35</v>
      </c>
    </row>
    <row r="7" spans="1:35" s="24" customFormat="1" ht="102.75" customHeight="1" x14ac:dyDescent="0.25">
      <c r="A7" s="10">
        <v>1</v>
      </c>
      <c r="B7" s="11">
        <v>2.11</v>
      </c>
      <c r="C7" s="27" t="s">
        <v>36</v>
      </c>
      <c r="D7" s="14" t="s">
        <v>37</v>
      </c>
      <c r="E7" s="62">
        <v>4</v>
      </c>
      <c r="F7" s="63" t="s">
        <v>59</v>
      </c>
      <c r="G7" s="62">
        <f t="shared" ref="G7:G12" si="0">E7*610</f>
        <v>2440</v>
      </c>
      <c r="H7" s="62">
        <v>515</v>
      </c>
      <c r="I7" s="62">
        <v>1714</v>
      </c>
      <c r="J7" s="64">
        <f>80+314.7</f>
        <v>394.7</v>
      </c>
      <c r="K7" s="64">
        <f t="shared" ref="K7:K12" si="1">I7-J7</f>
        <v>1319.3</v>
      </c>
      <c r="L7" s="64" t="s">
        <v>38</v>
      </c>
      <c r="M7" s="62">
        <v>384.2</v>
      </c>
      <c r="N7" s="62">
        <f>464-80</f>
        <v>384</v>
      </c>
      <c r="O7" s="65">
        <f t="shared" ref="O7:O12" si="2">M7-N7</f>
        <v>0.19999999999998863</v>
      </c>
      <c r="P7" s="16">
        <v>109</v>
      </c>
      <c r="Q7" s="11">
        <v>59</v>
      </c>
      <c r="R7" s="11">
        <v>384.2</v>
      </c>
      <c r="S7" s="17" t="s">
        <v>39</v>
      </c>
      <c r="T7" s="18">
        <f t="shared" ref="T7:T12" si="3">IF(N7&gt;0,N7/K7,0)</f>
        <v>0.29106344273478363</v>
      </c>
      <c r="U7" s="11">
        <v>5</v>
      </c>
      <c r="V7" s="11" t="s">
        <v>40</v>
      </c>
      <c r="W7" s="11">
        <v>6</v>
      </c>
      <c r="X7" s="19">
        <f t="shared" ref="X7:X12" si="4">N7*90000</f>
        <v>34560000</v>
      </c>
      <c r="Y7" s="17">
        <f t="shared" ref="Y7:Y12" si="5">N7*10000</f>
        <v>3840000</v>
      </c>
      <c r="Z7" s="19">
        <f t="shared" ref="Z7:Z12" si="6">N7*90000*3</f>
        <v>103680000</v>
      </c>
      <c r="AA7" s="17"/>
      <c r="AB7" s="17"/>
      <c r="AC7" s="17">
        <f>5*30*17000*W7</f>
        <v>15300000</v>
      </c>
      <c r="AD7" s="17">
        <f t="shared" ref="AD7:AD12" si="7">IF(U7=6,W7*U7*30*12500,0)</f>
        <v>0</v>
      </c>
      <c r="AE7" s="19">
        <f t="shared" ref="AE7:AE12" si="8">IF(U7=12,W7*U7*30*17000,0)</f>
        <v>0</v>
      </c>
      <c r="AF7" s="20">
        <f>N7*30000</f>
        <v>11520000</v>
      </c>
      <c r="AG7" s="80">
        <f t="shared" ref="AG7:AG12" si="9">SUBTOTAL(9,X7:AF7)</f>
        <v>168900000</v>
      </c>
      <c r="AH7" s="22">
        <v>131712000</v>
      </c>
      <c r="AI7" s="23" t="s">
        <v>41</v>
      </c>
    </row>
    <row r="8" spans="1:35" s="31" customFormat="1" ht="99.75" customHeight="1" x14ac:dyDescent="0.25">
      <c r="A8" s="25">
        <v>2</v>
      </c>
      <c r="B8" s="26">
        <v>5.7</v>
      </c>
      <c r="C8" s="27" t="s">
        <v>42</v>
      </c>
      <c r="D8" s="14" t="s">
        <v>37</v>
      </c>
      <c r="E8" s="62">
        <v>6.5</v>
      </c>
      <c r="F8" s="63" t="s">
        <v>43</v>
      </c>
      <c r="G8" s="62">
        <f t="shared" si="0"/>
        <v>3965</v>
      </c>
      <c r="H8" s="62">
        <f>'[1]D.A CUM CN LÀNG NGHỀ'!G21</f>
        <v>130</v>
      </c>
      <c r="I8" s="62">
        <f>'[1]D.A CUM CN LÀNG NGHỀ'!H21</f>
        <v>3315</v>
      </c>
      <c r="J8" s="64">
        <f>'[1]D.A CUM CN LÀNG NGHỀ'!N21</f>
        <v>2664</v>
      </c>
      <c r="K8" s="64">
        <f t="shared" si="1"/>
        <v>651</v>
      </c>
      <c r="L8" s="64" t="s">
        <v>38</v>
      </c>
      <c r="M8" s="62">
        <v>651.4</v>
      </c>
      <c r="N8" s="62">
        <v>651</v>
      </c>
      <c r="O8" s="65">
        <f t="shared" si="2"/>
        <v>0.39999999999997726</v>
      </c>
      <c r="P8" s="26">
        <v>109</v>
      </c>
      <c r="Q8" s="26">
        <v>57</v>
      </c>
      <c r="R8" s="26">
        <v>651.4</v>
      </c>
      <c r="S8" s="28" t="s">
        <v>39</v>
      </c>
      <c r="T8" s="29">
        <f t="shared" si="3"/>
        <v>1</v>
      </c>
      <c r="U8" s="11">
        <f t="shared" ref="U8:U12" si="10">IF(T8&gt;70%,12,IF(T8&gt;=29.5%,6,""))</f>
        <v>12</v>
      </c>
      <c r="V8" s="15" t="s">
        <v>64</v>
      </c>
      <c r="W8" s="11">
        <v>11</v>
      </c>
      <c r="X8" s="19">
        <f t="shared" si="4"/>
        <v>58590000</v>
      </c>
      <c r="Y8" s="17">
        <f t="shared" si="5"/>
        <v>6510000</v>
      </c>
      <c r="Z8" s="19">
        <f t="shared" si="6"/>
        <v>175770000</v>
      </c>
      <c r="AA8" s="17"/>
      <c r="AB8" s="17"/>
      <c r="AC8" s="17"/>
      <c r="AD8" s="17">
        <f t="shared" si="7"/>
        <v>0</v>
      </c>
      <c r="AE8" s="19">
        <f t="shared" si="8"/>
        <v>67320000</v>
      </c>
      <c r="AF8" s="20">
        <f>N8*30000</f>
        <v>19530000</v>
      </c>
      <c r="AG8" s="80">
        <f t="shared" si="9"/>
        <v>327720000</v>
      </c>
      <c r="AH8" s="30">
        <v>263893000</v>
      </c>
      <c r="AI8" s="31" t="s">
        <v>41</v>
      </c>
    </row>
    <row r="9" spans="1:35" s="31" customFormat="1" ht="69.75" customHeight="1" x14ac:dyDescent="0.25">
      <c r="A9" s="25">
        <v>3</v>
      </c>
      <c r="B9" s="26">
        <v>5.8</v>
      </c>
      <c r="C9" s="27" t="s">
        <v>45</v>
      </c>
      <c r="D9" s="14" t="s">
        <v>37</v>
      </c>
      <c r="E9" s="62">
        <v>2</v>
      </c>
      <c r="F9" s="63" t="s">
        <v>60</v>
      </c>
      <c r="G9" s="62">
        <f t="shared" si="0"/>
        <v>1220</v>
      </c>
      <c r="H9" s="62">
        <v>122</v>
      </c>
      <c r="I9" s="62">
        <v>948</v>
      </c>
      <c r="J9" s="64">
        <f>'[1]D.A CUM CN LÀNG NGHỀ'!N23</f>
        <v>152</v>
      </c>
      <c r="K9" s="64">
        <f t="shared" si="1"/>
        <v>796</v>
      </c>
      <c r="L9" s="64" t="s">
        <v>38</v>
      </c>
      <c r="M9" s="62">
        <v>796.3</v>
      </c>
      <c r="N9" s="62">
        <v>796</v>
      </c>
      <c r="O9" s="65">
        <f t="shared" si="2"/>
        <v>0.29999999999995453</v>
      </c>
      <c r="P9" s="26">
        <v>109</v>
      </c>
      <c r="Q9" s="26">
        <v>58</v>
      </c>
      <c r="R9" s="26">
        <v>796.3</v>
      </c>
      <c r="S9" s="28" t="s">
        <v>39</v>
      </c>
      <c r="T9" s="29">
        <f t="shared" si="3"/>
        <v>1</v>
      </c>
      <c r="U9" s="11">
        <f t="shared" si="10"/>
        <v>12</v>
      </c>
      <c r="V9" s="11" t="s">
        <v>46</v>
      </c>
      <c r="W9" s="11">
        <v>4</v>
      </c>
      <c r="X9" s="19">
        <f t="shared" si="4"/>
        <v>71640000</v>
      </c>
      <c r="Y9" s="17">
        <f t="shared" si="5"/>
        <v>7960000</v>
      </c>
      <c r="Z9" s="19">
        <f t="shared" si="6"/>
        <v>214920000</v>
      </c>
      <c r="AA9" s="17"/>
      <c r="AB9" s="17"/>
      <c r="AC9" s="17"/>
      <c r="AD9" s="17">
        <f t="shared" si="7"/>
        <v>0</v>
      </c>
      <c r="AE9" s="19">
        <f t="shared" si="8"/>
        <v>24480000</v>
      </c>
      <c r="AF9" s="20">
        <f>N9*30000</f>
        <v>23880000</v>
      </c>
      <c r="AG9" s="80">
        <f t="shared" si="9"/>
        <v>342880000</v>
      </c>
      <c r="AH9" s="30">
        <v>300028000</v>
      </c>
      <c r="AI9" s="31" t="s">
        <v>41</v>
      </c>
    </row>
    <row r="10" spans="1:35" s="31" customFormat="1" ht="69.75" customHeight="1" x14ac:dyDescent="0.25">
      <c r="A10" s="25">
        <v>4</v>
      </c>
      <c r="B10" s="26">
        <v>4.17</v>
      </c>
      <c r="C10" s="27" t="s">
        <v>47</v>
      </c>
      <c r="D10" s="14" t="s">
        <v>37</v>
      </c>
      <c r="E10" s="62">
        <v>3</v>
      </c>
      <c r="F10" s="63" t="s">
        <v>48</v>
      </c>
      <c r="G10" s="62">
        <f t="shared" si="0"/>
        <v>1830</v>
      </c>
      <c r="H10" s="62">
        <v>68</v>
      </c>
      <c r="I10" s="62">
        <v>1522</v>
      </c>
      <c r="J10" s="64">
        <f>'[1]D.A CUM CN LÀNG NGHỀ'!N38</f>
        <v>1197</v>
      </c>
      <c r="K10" s="64">
        <f t="shared" si="1"/>
        <v>325</v>
      </c>
      <c r="L10" s="64" t="s">
        <v>49</v>
      </c>
      <c r="M10" s="62">
        <v>333.2</v>
      </c>
      <c r="N10" s="62">
        <v>325</v>
      </c>
      <c r="O10" s="65">
        <f t="shared" si="2"/>
        <v>8.1999999999999886</v>
      </c>
      <c r="P10" s="26">
        <v>109</v>
      </c>
      <c r="Q10" s="26">
        <v>65</v>
      </c>
      <c r="R10" s="26">
        <v>333.2</v>
      </c>
      <c r="S10" s="28" t="s">
        <v>39</v>
      </c>
      <c r="T10" s="29">
        <f t="shared" si="3"/>
        <v>1</v>
      </c>
      <c r="U10" s="11">
        <f t="shared" si="10"/>
        <v>12</v>
      </c>
      <c r="V10" s="15" t="s">
        <v>50</v>
      </c>
      <c r="W10" s="11">
        <v>6</v>
      </c>
      <c r="X10" s="19">
        <f t="shared" si="4"/>
        <v>29250000</v>
      </c>
      <c r="Y10" s="17">
        <f t="shared" si="5"/>
        <v>3250000</v>
      </c>
      <c r="Z10" s="19">
        <f t="shared" si="6"/>
        <v>87750000</v>
      </c>
      <c r="AA10" s="17"/>
      <c r="AB10" s="17"/>
      <c r="AC10" s="17"/>
      <c r="AD10" s="17">
        <f t="shared" si="7"/>
        <v>0</v>
      </c>
      <c r="AE10" s="19">
        <f t="shared" si="8"/>
        <v>36720000</v>
      </c>
      <c r="AF10" s="20">
        <f>N10*30000</f>
        <v>9750000</v>
      </c>
      <c r="AG10" s="80">
        <f t="shared" si="9"/>
        <v>166720000</v>
      </c>
      <c r="AH10" s="30">
        <v>124975000</v>
      </c>
      <c r="AI10" s="31" t="s">
        <v>41</v>
      </c>
    </row>
    <row r="11" spans="1:35" s="31" customFormat="1" ht="69.75" customHeight="1" x14ac:dyDescent="0.25">
      <c r="A11" s="25">
        <v>5</v>
      </c>
      <c r="B11" s="32">
        <v>4.2</v>
      </c>
      <c r="C11" s="27" t="s">
        <v>51</v>
      </c>
      <c r="D11" s="14" t="s">
        <v>37</v>
      </c>
      <c r="E11" s="62">
        <v>4</v>
      </c>
      <c r="F11" s="63" t="s">
        <v>52</v>
      </c>
      <c r="G11" s="62">
        <f t="shared" si="0"/>
        <v>2440</v>
      </c>
      <c r="H11" s="62">
        <f>'[1]D.A CUM CN LÀNG NGHỀ'!G40</f>
        <v>80</v>
      </c>
      <c r="I11" s="62">
        <v>2040</v>
      </c>
      <c r="J11" s="64">
        <v>1293</v>
      </c>
      <c r="K11" s="64">
        <v>747</v>
      </c>
      <c r="L11" s="64" t="s">
        <v>49</v>
      </c>
      <c r="M11" s="62">
        <v>747.4</v>
      </c>
      <c r="N11" s="62">
        <f>1070-323</f>
        <v>747</v>
      </c>
      <c r="O11" s="65">
        <f t="shared" si="2"/>
        <v>0.39999999999997726</v>
      </c>
      <c r="P11" s="26">
        <v>109</v>
      </c>
      <c r="Q11" s="26">
        <v>62</v>
      </c>
      <c r="R11" s="26">
        <v>747.4</v>
      </c>
      <c r="S11" s="28" t="s">
        <v>39</v>
      </c>
      <c r="T11" s="29">
        <f t="shared" si="3"/>
        <v>1</v>
      </c>
      <c r="U11" s="11">
        <f t="shared" si="10"/>
        <v>12</v>
      </c>
      <c r="V11" s="13" t="s">
        <v>53</v>
      </c>
      <c r="W11" s="11">
        <v>3</v>
      </c>
      <c r="X11" s="19">
        <f t="shared" si="4"/>
        <v>67230000</v>
      </c>
      <c r="Y11" s="17">
        <f t="shared" si="5"/>
        <v>7470000</v>
      </c>
      <c r="Z11" s="19">
        <f t="shared" si="6"/>
        <v>201690000</v>
      </c>
      <c r="AA11" s="17"/>
      <c r="AB11" s="17"/>
      <c r="AC11" s="17"/>
      <c r="AD11" s="17">
        <f t="shared" si="7"/>
        <v>0</v>
      </c>
      <c r="AE11" s="19">
        <f t="shared" si="8"/>
        <v>18360000</v>
      </c>
      <c r="AF11" s="20">
        <f>N11*30000</f>
        <v>22410000</v>
      </c>
      <c r="AG11" s="80">
        <f t="shared" si="9"/>
        <v>317160000</v>
      </c>
      <c r="AH11" s="30">
        <v>262971000</v>
      </c>
      <c r="AI11" s="31" t="s">
        <v>41</v>
      </c>
    </row>
    <row r="12" spans="1:35" s="31" customFormat="1" ht="69.75" customHeight="1" x14ac:dyDescent="0.25">
      <c r="A12" s="26">
        <v>6</v>
      </c>
      <c r="B12" s="26">
        <v>4.21</v>
      </c>
      <c r="C12" s="27" t="s">
        <v>54</v>
      </c>
      <c r="D12" s="14" t="s">
        <v>37</v>
      </c>
      <c r="E12" s="62">
        <v>2</v>
      </c>
      <c r="F12" s="63" t="s">
        <v>55</v>
      </c>
      <c r="G12" s="62">
        <f t="shared" si="0"/>
        <v>1220</v>
      </c>
      <c r="H12" s="62">
        <v>40</v>
      </c>
      <c r="I12" s="62">
        <v>1020</v>
      </c>
      <c r="J12" s="64">
        <f>'[1]D.A CUM CN LÀNG NGHỀ'!N41</f>
        <v>406</v>
      </c>
      <c r="K12" s="64">
        <f t="shared" si="1"/>
        <v>614</v>
      </c>
      <c r="L12" s="64" t="s">
        <v>49</v>
      </c>
      <c r="M12" s="62">
        <v>614.29999999999995</v>
      </c>
      <c r="N12" s="62">
        <f>1020-406</f>
        <v>614</v>
      </c>
      <c r="O12" s="65">
        <f t="shared" si="2"/>
        <v>0.29999999999995453</v>
      </c>
      <c r="P12" s="26">
        <v>109</v>
      </c>
      <c r="Q12" s="26">
        <v>63</v>
      </c>
      <c r="R12" s="26">
        <v>614.29999999999995</v>
      </c>
      <c r="S12" s="28" t="s">
        <v>39</v>
      </c>
      <c r="T12" s="29">
        <f t="shared" si="3"/>
        <v>1</v>
      </c>
      <c r="U12" s="11">
        <f t="shared" si="10"/>
        <v>12</v>
      </c>
      <c r="V12" s="15" t="s">
        <v>56</v>
      </c>
      <c r="W12" s="11">
        <v>4</v>
      </c>
      <c r="X12" s="19">
        <f t="shared" si="4"/>
        <v>55260000</v>
      </c>
      <c r="Y12" s="17">
        <f t="shared" si="5"/>
        <v>6140000</v>
      </c>
      <c r="Z12" s="19">
        <f t="shared" si="6"/>
        <v>165780000</v>
      </c>
      <c r="AA12" s="17"/>
      <c r="AB12" s="17"/>
      <c r="AC12" s="17"/>
      <c r="AD12" s="17">
        <f t="shared" si="7"/>
        <v>0</v>
      </c>
      <c r="AE12" s="19">
        <f t="shared" si="8"/>
        <v>24480000</v>
      </c>
      <c r="AF12" s="20">
        <f>N12*30000</f>
        <v>18420000</v>
      </c>
      <c r="AG12" s="80">
        <f t="shared" si="9"/>
        <v>270080000</v>
      </c>
      <c r="AH12" s="30">
        <v>233102000</v>
      </c>
      <c r="AI12" s="31" t="s">
        <v>41</v>
      </c>
    </row>
    <row r="13" spans="1:35" s="38" customFormat="1" ht="24.75" customHeight="1" x14ac:dyDescent="0.25">
      <c r="A13" s="33"/>
      <c r="B13" s="33"/>
      <c r="C13" s="34" t="s">
        <v>57</v>
      </c>
      <c r="D13" s="35"/>
      <c r="E13" s="66"/>
      <c r="F13" s="66"/>
      <c r="G13" s="67"/>
      <c r="H13" s="67"/>
      <c r="I13" s="67"/>
      <c r="J13" s="66"/>
      <c r="K13" s="36"/>
      <c r="L13" s="36"/>
      <c r="M13" s="73">
        <f>SUM(M7:M12)</f>
        <v>3526.8</v>
      </c>
      <c r="N13" s="73">
        <f>SUM(N7:N12)</f>
        <v>3517</v>
      </c>
      <c r="O13" s="73">
        <f>SUM(O7:O12)</f>
        <v>9.7999999999998408</v>
      </c>
      <c r="P13" s="36"/>
      <c r="Q13" s="36"/>
      <c r="R13" s="36" t="e">
        <f>+#REF!+#REF!</f>
        <v>#REF!</v>
      </c>
      <c r="S13" s="36"/>
      <c r="T13" s="36"/>
      <c r="U13" s="36">
        <f>SUM(U7:U12)</f>
        <v>65</v>
      </c>
      <c r="V13" s="36"/>
      <c r="W13" s="36">
        <f>SUM(W7:W12)</f>
        <v>34</v>
      </c>
      <c r="X13" s="36">
        <f>SUM(X7:X12)</f>
        <v>316530000</v>
      </c>
      <c r="Y13" s="36">
        <f>SUM(Y7:Y12)</f>
        <v>35170000</v>
      </c>
      <c r="Z13" s="36">
        <f>SUM(Z7:Z12)</f>
        <v>949590000</v>
      </c>
      <c r="AA13" s="36"/>
      <c r="AB13" s="36"/>
      <c r="AC13" s="36">
        <f>SUM(AC7:AC12)</f>
        <v>15300000</v>
      </c>
      <c r="AD13" s="36">
        <f>SUM(AD7:AD12)</f>
        <v>0</v>
      </c>
      <c r="AE13" s="36">
        <f>SUM(AE7:AE12)</f>
        <v>171360000</v>
      </c>
      <c r="AF13" s="36">
        <f>SUM(AF7:AF12)</f>
        <v>105510000</v>
      </c>
      <c r="AG13" s="36">
        <f>SUM(AG7:AG12)</f>
        <v>1593460000</v>
      </c>
      <c r="AH13" s="37"/>
    </row>
    <row r="14" spans="1:35" x14ac:dyDescent="0.3">
      <c r="AF14" s="41" t="s">
        <v>63</v>
      </c>
      <c r="AG14" s="79">
        <f>11455.9*90000</f>
        <v>1031031000</v>
      </c>
    </row>
    <row r="15" spans="1:35" x14ac:dyDescent="0.3">
      <c r="AG15" s="79">
        <f>AG13+AG14</f>
        <v>2624491000</v>
      </c>
    </row>
    <row r="16" spans="1:35" x14ac:dyDescent="0.3">
      <c r="AF16" s="74">
        <v>0.02</v>
      </c>
      <c r="AG16" s="72">
        <f>AG15*2%</f>
        <v>52489820</v>
      </c>
    </row>
    <row r="17" spans="1:35" x14ac:dyDescent="0.3">
      <c r="AF17" s="68"/>
      <c r="AG17" s="72">
        <f>ROUND(AG16,-3)</f>
        <v>52490000</v>
      </c>
    </row>
    <row r="18" spans="1:35" s="42" customFormat="1" x14ac:dyDescent="0.3">
      <c r="A18" s="39"/>
      <c r="B18" s="39"/>
      <c r="C18" s="40"/>
      <c r="D18" s="1"/>
      <c r="E18" s="68"/>
      <c r="F18" s="68"/>
      <c r="G18" s="69"/>
      <c r="H18" s="69"/>
      <c r="I18" s="69"/>
      <c r="J18" s="68"/>
      <c r="K18" s="69"/>
      <c r="L18" s="70"/>
      <c r="M18" s="70"/>
      <c r="N18" s="71"/>
      <c r="O18" s="71"/>
      <c r="P18" s="39"/>
      <c r="Q18" s="39"/>
      <c r="R18" s="39"/>
      <c r="S18" s="41"/>
      <c r="T18" s="41"/>
      <c r="U18" s="41"/>
      <c r="V18" s="41"/>
      <c r="W18" s="41"/>
      <c r="X18" s="41"/>
      <c r="Y18" s="41"/>
      <c r="Z18" s="41"/>
      <c r="AA18" s="41"/>
      <c r="AB18" s="41"/>
      <c r="AC18" s="41"/>
      <c r="AD18" s="41"/>
      <c r="AE18" s="41"/>
      <c r="AF18" s="41" t="s">
        <v>22</v>
      </c>
      <c r="AG18" s="75">
        <f>AG15+AG17</f>
        <v>2676981000</v>
      </c>
      <c r="AI18" s="1"/>
    </row>
  </sheetData>
  <mergeCells count="27">
    <mergeCell ref="Z5:Z6"/>
    <mergeCell ref="AA5:AE5"/>
    <mergeCell ref="AF5:AF6"/>
    <mergeCell ref="AG5:AG6"/>
    <mergeCell ref="AH5:AH6"/>
    <mergeCell ref="T5:T6"/>
    <mergeCell ref="U5:U6"/>
    <mergeCell ref="V5:V6"/>
    <mergeCell ref="W5:W6"/>
    <mergeCell ref="X5:X6"/>
    <mergeCell ref="Y5:Y6"/>
    <mergeCell ref="H5:H6"/>
    <mergeCell ref="I5:I6"/>
    <mergeCell ref="J5:J6"/>
    <mergeCell ref="K5:K6"/>
    <mergeCell ref="L5:R5"/>
    <mergeCell ref="S5:S6"/>
    <mergeCell ref="A1:AH1"/>
    <mergeCell ref="A2:AH2"/>
    <mergeCell ref="A3:AH3"/>
    <mergeCell ref="A5:A6"/>
    <mergeCell ref="B5:B6"/>
    <mergeCell ref="C5:C6"/>
    <mergeCell ref="D5:D6"/>
    <mergeCell ref="E5:E6"/>
    <mergeCell ref="F5:F6"/>
    <mergeCell ref="G5:G6"/>
  </mergeCells>
  <conditionalFormatting sqref="P6:R6">
    <cfRule type="expression" dxfId="1" priority="1">
      <formula>"mod(row();2)"</formula>
    </cfRule>
  </conditionalFormatting>
  <pageMargins left="0.7" right="0.2" top="0.53" bottom="0.75" header="0.59" footer="0.3"/>
  <pageSetup paperSize="9" scale="50" fitToHeight="0"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AI17"/>
  <sheetViews>
    <sheetView zoomScale="70" zoomScaleNormal="70" workbookViewId="0">
      <pane xSplit="4" ySplit="6" topLeftCell="L13" activePane="bottomRight" state="frozen"/>
      <selection pane="topRight"/>
      <selection pane="bottomLeft"/>
      <selection pane="bottomRight" activeCell="L25" sqref="L25"/>
    </sheetView>
  </sheetViews>
  <sheetFormatPr defaultColWidth="9.28515625" defaultRowHeight="18.75" x14ac:dyDescent="0.3"/>
  <cols>
    <col min="1" max="1" width="6.42578125" style="39" customWidth="1"/>
    <col min="2" max="2" width="8.140625" style="39" hidden="1" customWidth="1"/>
    <col min="3" max="3" width="18.7109375" style="40" customWidth="1"/>
    <col min="4" max="4" width="9.5703125" style="1" customWidth="1"/>
    <col min="5" max="5" width="8.28515625" style="68" customWidth="1"/>
    <col min="6" max="6" width="23.42578125" style="68" customWidth="1"/>
    <col min="7" max="7" width="12.42578125" style="69" customWidth="1"/>
    <col min="8" max="8" width="9" style="69" hidden="1" customWidth="1"/>
    <col min="9" max="9" width="11.5703125" style="69" hidden="1" customWidth="1"/>
    <col min="10" max="10" width="9.5703125" style="68" customWidth="1"/>
    <col min="11" max="11" width="11.5703125" style="69" customWidth="1"/>
    <col min="12" max="12" width="12" style="70" customWidth="1"/>
    <col min="13" max="13" width="12.42578125" style="70" customWidth="1"/>
    <col min="14" max="14" width="13.28515625" style="71" customWidth="1"/>
    <col min="15" max="15" width="8.7109375" style="71" customWidth="1"/>
    <col min="16" max="16" width="9.5703125" style="39" customWidth="1"/>
    <col min="17" max="17" width="8.85546875" style="39" customWidth="1"/>
    <col min="18" max="18" width="11.140625" style="39" hidden="1" customWidth="1"/>
    <col min="19" max="19" width="9.140625" style="41" customWidth="1"/>
    <col min="20" max="20" width="9.5703125" style="41" customWidth="1"/>
    <col min="21" max="21" width="9.7109375" style="41" customWidth="1"/>
    <col min="22" max="22" width="36.140625" style="41" hidden="1" customWidth="1"/>
    <col min="23" max="23" width="9.28515625" style="41" customWidth="1"/>
    <col min="24" max="24" width="17.28515625" style="41" customWidth="1"/>
    <col min="25" max="25" width="17.140625" style="41" customWidth="1"/>
    <col min="26" max="26" width="17.42578125" style="41" customWidth="1"/>
    <col min="27" max="27" width="19" style="41" hidden="1" customWidth="1"/>
    <col min="28" max="28" width="20.28515625" style="41" hidden="1" customWidth="1"/>
    <col min="29" max="29" width="17.42578125" style="41" customWidth="1"/>
    <col min="30" max="30" width="19.85546875" style="41" hidden="1" customWidth="1"/>
    <col min="31" max="31" width="18.140625" style="41" customWidth="1"/>
    <col min="32" max="32" width="17.28515625" style="41" customWidth="1"/>
    <col min="33" max="33" width="22" style="43" customWidth="1"/>
    <col min="34" max="34" width="21.28515625" style="42" hidden="1" customWidth="1"/>
    <col min="35" max="35" width="30.28515625" style="1" hidden="1" customWidth="1"/>
    <col min="36" max="16384" width="9.28515625" style="1"/>
  </cols>
  <sheetData>
    <row r="1" spans="1:35" ht="23.25" customHeight="1" x14ac:dyDescent="0.25">
      <c r="A1" s="78" t="s">
        <v>0</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5" ht="33.75" customHeight="1" x14ac:dyDescent="0.25">
      <c r="A2" s="76" t="s">
        <v>62</v>
      </c>
      <c r="B2" s="76"/>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row>
    <row r="3" spans="1:35" ht="25.5" customHeight="1" x14ac:dyDescent="0.25">
      <c r="A3" s="77" t="s">
        <v>1</v>
      </c>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row>
    <row r="4" spans="1:35" ht="18" customHeight="1" x14ac:dyDescent="0.35">
      <c r="A4" s="2"/>
      <c r="B4" s="2"/>
      <c r="C4" s="3"/>
      <c r="D4" s="4"/>
      <c r="E4" s="54"/>
      <c r="F4" s="54"/>
      <c r="G4" s="54"/>
      <c r="H4" s="54"/>
      <c r="I4" s="55"/>
      <c r="J4" s="54"/>
      <c r="K4" s="54"/>
      <c r="L4" s="56"/>
      <c r="M4" s="56"/>
      <c r="N4" s="57"/>
      <c r="O4" s="57"/>
      <c r="P4" s="2"/>
      <c r="Q4" s="2"/>
      <c r="R4" s="2"/>
      <c r="S4" s="4"/>
      <c r="T4" s="4"/>
      <c r="U4" s="4"/>
      <c r="V4" s="4"/>
      <c r="W4" s="4"/>
      <c r="X4" s="4"/>
      <c r="Y4" s="4"/>
      <c r="Z4" s="4"/>
      <c r="AA4" s="4"/>
      <c r="AB4" s="4"/>
      <c r="AC4" s="4"/>
      <c r="AD4" s="4"/>
      <c r="AE4" s="4"/>
      <c r="AF4" s="5"/>
      <c r="AG4" s="6"/>
      <c r="AH4" s="7"/>
    </row>
    <row r="5" spans="1:35" ht="37.15" customHeight="1" x14ac:dyDescent="0.25">
      <c r="A5" s="44" t="s">
        <v>2</v>
      </c>
      <c r="B5" s="44"/>
      <c r="C5" s="44" t="s">
        <v>3</v>
      </c>
      <c r="D5" s="44" t="s">
        <v>4</v>
      </c>
      <c r="E5" s="58" t="s">
        <v>5</v>
      </c>
      <c r="F5" s="59" t="s">
        <v>58</v>
      </c>
      <c r="G5" s="58" t="s">
        <v>6</v>
      </c>
      <c r="H5" s="59" t="s">
        <v>7</v>
      </c>
      <c r="I5" s="58" t="s">
        <v>8</v>
      </c>
      <c r="J5" s="58" t="s">
        <v>9</v>
      </c>
      <c r="K5" s="58" t="s">
        <v>10</v>
      </c>
      <c r="L5" s="47" t="s">
        <v>11</v>
      </c>
      <c r="M5" s="47"/>
      <c r="N5" s="47"/>
      <c r="O5" s="47"/>
      <c r="P5" s="47"/>
      <c r="Q5" s="47"/>
      <c r="R5" s="48"/>
      <c r="S5" s="44" t="s">
        <v>12</v>
      </c>
      <c r="T5" s="44" t="s">
        <v>13</v>
      </c>
      <c r="U5" s="44" t="s">
        <v>14</v>
      </c>
      <c r="V5" s="44" t="s">
        <v>15</v>
      </c>
      <c r="W5" s="44" t="s">
        <v>16</v>
      </c>
      <c r="X5" s="44" t="s">
        <v>17</v>
      </c>
      <c r="Y5" s="44" t="s">
        <v>18</v>
      </c>
      <c r="Z5" s="44" t="s">
        <v>19</v>
      </c>
      <c r="AA5" s="46" t="s">
        <v>20</v>
      </c>
      <c r="AB5" s="47"/>
      <c r="AC5" s="47"/>
      <c r="AD5" s="47"/>
      <c r="AE5" s="48"/>
      <c r="AF5" s="44" t="s">
        <v>21</v>
      </c>
      <c r="AG5" s="49" t="s">
        <v>22</v>
      </c>
      <c r="AH5" s="51" t="s">
        <v>23</v>
      </c>
    </row>
    <row r="6" spans="1:35" ht="69.75" customHeight="1" x14ac:dyDescent="0.25">
      <c r="A6" s="53"/>
      <c r="B6" s="45"/>
      <c r="C6" s="45"/>
      <c r="D6" s="53"/>
      <c r="E6" s="58"/>
      <c r="F6" s="60"/>
      <c r="G6" s="58"/>
      <c r="H6" s="60"/>
      <c r="I6" s="58"/>
      <c r="J6" s="58"/>
      <c r="K6" s="58"/>
      <c r="L6" s="61" t="s">
        <v>24</v>
      </c>
      <c r="M6" s="61" t="s">
        <v>61</v>
      </c>
      <c r="N6" s="61" t="s">
        <v>25</v>
      </c>
      <c r="O6" s="61" t="s">
        <v>26</v>
      </c>
      <c r="P6" s="8" t="s">
        <v>27</v>
      </c>
      <c r="Q6" s="8" t="s">
        <v>28</v>
      </c>
      <c r="R6" s="8" t="s">
        <v>29</v>
      </c>
      <c r="S6" s="45"/>
      <c r="T6" s="53"/>
      <c r="U6" s="45"/>
      <c r="V6" s="45"/>
      <c r="W6" s="45"/>
      <c r="X6" s="45"/>
      <c r="Y6" s="45"/>
      <c r="Z6" s="45"/>
      <c r="AA6" s="8" t="s">
        <v>30</v>
      </c>
      <c r="AB6" s="8" t="s">
        <v>31</v>
      </c>
      <c r="AC6" s="8" t="s">
        <v>32</v>
      </c>
      <c r="AD6" s="8" t="s">
        <v>33</v>
      </c>
      <c r="AE6" s="8" t="s">
        <v>34</v>
      </c>
      <c r="AF6" s="45"/>
      <c r="AG6" s="50"/>
      <c r="AH6" s="52"/>
      <c r="AI6" s="9" t="s">
        <v>35</v>
      </c>
    </row>
    <row r="7" spans="1:35" s="24" customFormat="1" ht="102.75" customHeight="1" x14ac:dyDescent="0.25">
      <c r="A7" s="10">
        <v>4</v>
      </c>
      <c r="B7" s="11">
        <v>2.11</v>
      </c>
      <c r="C7" s="12" t="s">
        <v>36</v>
      </c>
      <c r="D7" s="14" t="s">
        <v>37</v>
      </c>
      <c r="E7" s="62">
        <v>4</v>
      </c>
      <c r="F7" s="63" t="s">
        <v>59</v>
      </c>
      <c r="G7" s="62">
        <f t="shared" ref="G7:G12" si="0">E7*610</f>
        <v>2440</v>
      </c>
      <c r="H7" s="62">
        <v>515</v>
      </c>
      <c r="I7" s="62">
        <v>1714</v>
      </c>
      <c r="J7" s="64">
        <f>80+314.7</f>
        <v>394.7</v>
      </c>
      <c r="K7" s="64">
        <f t="shared" ref="K7:K12" si="1">I7-J7</f>
        <v>1319.3</v>
      </c>
      <c r="L7" s="64" t="s">
        <v>38</v>
      </c>
      <c r="M7" s="62">
        <v>384.2</v>
      </c>
      <c r="N7" s="62">
        <f>464-80</f>
        <v>384</v>
      </c>
      <c r="O7" s="65">
        <f t="shared" ref="O7:O12" si="2">M7-N7</f>
        <v>0.19999999999998863</v>
      </c>
      <c r="P7" s="16">
        <v>109</v>
      </c>
      <c r="Q7" s="11">
        <v>59</v>
      </c>
      <c r="R7" s="11">
        <v>384.2</v>
      </c>
      <c r="S7" s="17" t="s">
        <v>39</v>
      </c>
      <c r="T7" s="18">
        <f t="shared" ref="T7:T12" si="3">IF(N7&gt;0,N7/K7,0)</f>
        <v>0.29106344273478363</v>
      </c>
      <c r="U7" s="11">
        <v>5</v>
      </c>
      <c r="V7" s="11" t="s">
        <v>40</v>
      </c>
      <c r="W7" s="11">
        <v>6</v>
      </c>
      <c r="X7" s="19">
        <f t="shared" ref="X7:X12" si="4">N7*90000</f>
        <v>34560000</v>
      </c>
      <c r="Y7" s="17">
        <f t="shared" ref="Y7:Y12" si="5">N7*10000</f>
        <v>3840000</v>
      </c>
      <c r="Z7" s="19">
        <f t="shared" ref="Z7:Z12" si="6">N7*90000*3</f>
        <v>103680000</v>
      </c>
      <c r="AA7" s="17"/>
      <c r="AB7" s="17"/>
      <c r="AC7" s="17">
        <f>5*30*17000*W7</f>
        <v>15300000</v>
      </c>
      <c r="AD7" s="17">
        <f t="shared" ref="AD7:AD12" si="7">IF(U7=6,W7*U7*30*12500,0)</f>
        <v>0</v>
      </c>
      <c r="AE7" s="19">
        <f t="shared" ref="AE7:AE12" si="8">IF(U7=12,W7*U7*30*17000,0)</f>
        <v>0</v>
      </c>
      <c r="AF7" s="20">
        <f t="shared" ref="AF7:AF12" si="9">N7*10000</f>
        <v>3840000</v>
      </c>
      <c r="AG7" s="21">
        <f t="shared" ref="AG7:AG12" si="10">SUBTOTAL(9,X7:AF7)</f>
        <v>161220000</v>
      </c>
      <c r="AH7" s="22">
        <v>131712000</v>
      </c>
      <c r="AI7" s="23" t="s">
        <v>41</v>
      </c>
    </row>
    <row r="8" spans="1:35" s="31" customFormat="1" ht="99.75" customHeight="1" x14ac:dyDescent="0.25">
      <c r="A8" s="25">
        <v>7</v>
      </c>
      <c r="B8" s="26">
        <v>5.7</v>
      </c>
      <c r="C8" s="12" t="s">
        <v>42</v>
      </c>
      <c r="D8" s="14" t="s">
        <v>37</v>
      </c>
      <c r="E8" s="62">
        <v>6.5</v>
      </c>
      <c r="F8" s="63" t="s">
        <v>43</v>
      </c>
      <c r="G8" s="62">
        <f t="shared" si="0"/>
        <v>3965</v>
      </c>
      <c r="H8" s="62">
        <f>'[1]D.A CUM CN LÀNG NGHỀ'!G21</f>
        <v>130</v>
      </c>
      <c r="I8" s="62">
        <f>'[1]D.A CUM CN LÀNG NGHỀ'!H21</f>
        <v>3315</v>
      </c>
      <c r="J8" s="64">
        <f>'[1]D.A CUM CN LÀNG NGHỀ'!N21</f>
        <v>2664</v>
      </c>
      <c r="K8" s="64">
        <f t="shared" si="1"/>
        <v>651</v>
      </c>
      <c r="L8" s="64" t="s">
        <v>38</v>
      </c>
      <c r="M8" s="62">
        <v>651.4</v>
      </c>
      <c r="N8" s="62">
        <v>651</v>
      </c>
      <c r="O8" s="65">
        <f t="shared" si="2"/>
        <v>0.39999999999997726</v>
      </c>
      <c r="P8" s="26">
        <v>109</v>
      </c>
      <c r="Q8" s="26">
        <v>57</v>
      </c>
      <c r="R8" s="26">
        <v>651.4</v>
      </c>
      <c r="S8" s="28" t="s">
        <v>39</v>
      </c>
      <c r="T8" s="29">
        <f t="shared" si="3"/>
        <v>1</v>
      </c>
      <c r="U8" s="11">
        <f t="shared" ref="U8:U12" si="11">IF(T8&gt;70%,12,IF(T8&gt;=29.5%,6,""))</f>
        <v>12</v>
      </c>
      <c r="V8" s="15" t="s">
        <v>44</v>
      </c>
      <c r="W8" s="11">
        <v>11</v>
      </c>
      <c r="X8" s="19">
        <f t="shared" si="4"/>
        <v>58590000</v>
      </c>
      <c r="Y8" s="17">
        <f t="shared" si="5"/>
        <v>6510000</v>
      </c>
      <c r="Z8" s="19">
        <f t="shared" si="6"/>
        <v>175770000</v>
      </c>
      <c r="AA8" s="17"/>
      <c r="AB8" s="17"/>
      <c r="AC8" s="17"/>
      <c r="AD8" s="17">
        <f t="shared" si="7"/>
        <v>0</v>
      </c>
      <c r="AE8" s="19">
        <f t="shared" si="8"/>
        <v>67320000</v>
      </c>
      <c r="AF8" s="20">
        <f t="shared" si="9"/>
        <v>6510000</v>
      </c>
      <c r="AG8" s="21">
        <f t="shared" si="10"/>
        <v>314700000</v>
      </c>
      <c r="AH8" s="30">
        <v>263893000</v>
      </c>
      <c r="AI8" s="31" t="s">
        <v>41</v>
      </c>
    </row>
    <row r="9" spans="1:35" s="31" customFormat="1" ht="69.75" customHeight="1" x14ac:dyDescent="0.25">
      <c r="A9" s="25">
        <v>8</v>
      </c>
      <c r="B9" s="26">
        <v>5.8</v>
      </c>
      <c r="C9" s="12" t="s">
        <v>45</v>
      </c>
      <c r="D9" s="14" t="s">
        <v>37</v>
      </c>
      <c r="E9" s="62">
        <v>2</v>
      </c>
      <c r="F9" s="63" t="s">
        <v>60</v>
      </c>
      <c r="G9" s="62">
        <f t="shared" si="0"/>
        <v>1220</v>
      </c>
      <c r="H9" s="62">
        <v>122</v>
      </c>
      <c r="I9" s="62">
        <v>948</v>
      </c>
      <c r="J9" s="64">
        <f>'[1]D.A CUM CN LÀNG NGHỀ'!N23</f>
        <v>152</v>
      </c>
      <c r="K9" s="64">
        <f t="shared" si="1"/>
        <v>796</v>
      </c>
      <c r="L9" s="64" t="s">
        <v>38</v>
      </c>
      <c r="M9" s="62">
        <v>796.3</v>
      </c>
      <c r="N9" s="62">
        <v>796</v>
      </c>
      <c r="O9" s="65">
        <f t="shared" si="2"/>
        <v>0.29999999999995453</v>
      </c>
      <c r="P9" s="26">
        <v>109</v>
      </c>
      <c r="Q9" s="26">
        <v>58</v>
      </c>
      <c r="R9" s="26">
        <v>796.3</v>
      </c>
      <c r="S9" s="28" t="s">
        <v>39</v>
      </c>
      <c r="T9" s="29">
        <f t="shared" si="3"/>
        <v>1</v>
      </c>
      <c r="U9" s="11">
        <f t="shared" si="11"/>
        <v>12</v>
      </c>
      <c r="V9" s="11" t="s">
        <v>46</v>
      </c>
      <c r="W9" s="11">
        <v>4</v>
      </c>
      <c r="X9" s="19">
        <f t="shared" si="4"/>
        <v>71640000</v>
      </c>
      <c r="Y9" s="17">
        <f t="shared" si="5"/>
        <v>7960000</v>
      </c>
      <c r="Z9" s="19">
        <f t="shared" si="6"/>
        <v>214920000</v>
      </c>
      <c r="AA9" s="17"/>
      <c r="AB9" s="17"/>
      <c r="AC9" s="17"/>
      <c r="AD9" s="17">
        <f t="shared" si="7"/>
        <v>0</v>
      </c>
      <c r="AE9" s="19">
        <f t="shared" si="8"/>
        <v>24480000</v>
      </c>
      <c r="AF9" s="20">
        <f t="shared" si="9"/>
        <v>7960000</v>
      </c>
      <c r="AG9" s="21">
        <f t="shared" si="10"/>
        <v>326960000</v>
      </c>
      <c r="AH9" s="30">
        <v>300028000</v>
      </c>
      <c r="AI9" s="31" t="s">
        <v>41</v>
      </c>
    </row>
    <row r="10" spans="1:35" s="31" customFormat="1" ht="69.75" customHeight="1" x14ac:dyDescent="0.25">
      <c r="A10" s="25">
        <v>9</v>
      </c>
      <c r="B10" s="26">
        <v>4.17</v>
      </c>
      <c r="C10" s="12" t="s">
        <v>47</v>
      </c>
      <c r="D10" s="14" t="s">
        <v>37</v>
      </c>
      <c r="E10" s="62">
        <v>3</v>
      </c>
      <c r="F10" s="63" t="s">
        <v>48</v>
      </c>
      <c r="G10" s="62">
        <f t="shared" si="0"/>
        <v>1830</v>
      </c>
      <c r="H10" s="62">
        <v>68</v>
      </c>
      <c r="I10" s="62">
        <v>1522</v>
      </c>
      <c r="J10" s="64">
        <f>'[1]D.A CUM CN LÀNG NGHỀ'!N38</f>
        <v>1197</v>
      </c>
      <c r="K10" s="64">
        <f t="shared" si="1"/>
        <v>325</v>
      </c>
      <c r="L10" s="64" t="s">
        <v>49</v>
      </c>
      <c r="M10" s="62">
        <v>333.2</v>
      </c>
      <c r="N10" s="62">
        <v>325</v>
      </c>
      <c r="O10" s="65">
        <f t="shared" si="2"/>
        <v>8.1999999999999886</v>
      </c>
      <c r="P10" s="26">
        <v>109</v>
      </c>
      <c r="Q10" s="26">
        <v>65</v>
      </c>
      <c r="R10" s="26">
        <v>333.2</v>
      </c>
      <c r="S10" s="28" t="s">
        <v>39</v>
      </c>
      <c r="T10" s="29">
        <f t="shared" si="3"/>
        <v>1</v>
      </c>
      <c r="U10" s="11">
        <f t="shared" si="11"/>
        <v>12</v>
      </c>
      <c r="V10" s="15" t="s">
        <v>50</v>
      </c>
      <c r="W10" s="11">
        <v>6</v>
      </c>
      <c r="X10" s="19">
        <f t="shared" si="4"/>
        <v>29250000</v>
      </c>
      <c r="Y10" s="17">
        <f t="shared" si="5"/>
        <v>3250000</v>
      </c>
      <c r="Z10" s="19">
        <f t="shared" si="6"/>
        <v>87750000</v>
      </c>
      <c r="AA10" s="17"/>
      <c r="AB10" s="17"/>
      <c r="AC10" s="17"/>
      <c r="AD10" s="17">
        <f t="shared" si="7"/>
        <v>0</v>
      </c>
      <c r="AE10" s="19">
        <f t="shared" si="8"/>
        <v>36720000</v>
      </c>
      <c r="AF10" s="20">
        <f t="shared" si="9"/>
        <v>3250000</v>
      </c>
      <c r="AG10" s="21">
        <f t="shared" si="10"/>
        <v>160220000</v>
      </c>
      <c r="AH10" s="30">
        <v>124975000</v>
      </c>
      <c r="AI10" s="31" t="s">
        <v>41</v>
      </c>
    </row>
    <row r="11" spans="1:35" s="31" customFormat="1" ht="69.75" customHeight="1" x14ac:dyDescent="0.25">
      <c r="A11" s="25">
        <v>10</v>
      </c>
      <c r="B11" s="32">
        <v>4.2</v>
      </c>
      <c r="C11" s="12" t="s">
        <v>51</v>
      </c>
      <c r="D11" s="14" t="s">
        <v>37</v>
      </c>
      <c r="E11" s="62">
        <v>4</v>
      </c>
      <c r="F11" s="63" t="s">
        <v>52</v>
      </c>
      <c r="G11" s="62">
        <f t="shared" si="0"/>
        <v>2440</v>
      </c>
      <c r="H11" s="62">
        <f>'[1]D.A CUM CN LÀNG NGHỀ'!G40</f>
        <v>80</v>
      </c>
      <c r="I11" s="62">
        <v>2040</v>
      </c>
      <c r="J11" s="64">
        <v>1293</v>
      </c>
      <c r="K11" s="64">
        <v>747</v>
      </c>
      <c r="L11" s="64" t="s">
        <v>49</v>
      </c>
      <c r="M11" s="62">
        <v>747.4</v>
      </c>
      <c r="N11" s="62">
        <f>1070-323</f>
        <v>747</v>
      </c>
      <c r="O11" s="65">
        <f t="shared" si="2"/>
        <v>0.39999999999997726</v>
      </c>
      <c r="P11" s="26">
        <v>109</v>
      </c>
      <c r="Q11" s="26">
        <v>62</v>
      </c>
      <c r="R11" s="26">
        <v>747.4</v>
      </c>
      <c r="S11" s="28" t="s">
        <v>39</v>
      </c>
      <c r="T11" s="29">
        <f t="shared" si="3"/>
        <v>1</v>
      </c>
      <c r="U11" s="11">
        <f t="shared" si="11"/>
        <v>12</v>
      </c>
      <c r="V11" s="13" t="s">
        <v>53</v>
      </c>
      <c r="W11" s="11">
        <v>3</v>
      </c>
      <c r="X11" s="19">
        <f t="shared" si="4"/>
        <v>67230000</v>
      </c>
      <c r="Y11" s="17">
        <f t="shared" si="5"/>
        <v>7470000</v>
      </c>
      <c r="Z11" s="19">
        <f t="shared" si="6"/>
        <v>201690000</v>
      </c>
      <c r="AA11" s="17"/>
      <c r="AB11" s="17"/>
      <c r="AC11" s="17"/>
      <c r="AD11" s="17">
        <f t="shared" si="7"/>
        <v>0</v>
      </c>
      <c r="AE11" s="19">
        <f t="shared" si="8"/>
        <v>18360000</v>
      </c>
      <c r="AF11" s="20">
        <f t="shared" si="9"/>
        <v>7470000</v>
      </c>
      <c r="AG11" s="21">
        <f t="shared" si="10"/>
        <v>302220000</v>
      </c>
      <c r="AH11" s="30">
        <v>262971000</v>
      </c>
      <c r="AI11" s="31" t="s">
        <v>41</v>
      </c>
    </row>
    <row r="12" spans="1:35" s="31" customFormat="1" ht="69.75" customHeight="1" x14ac:dyDescent="0.25">
      <c r="A12" s="26">
        <v>11</v>
      </c>
      <c r="B12" s="26">
        <v>4.21</v>
      </c>
      <c r="C12" s="12" t="s">
        <v>54</v>
      </c>
      <c r="D12" s="14" t="s">
        <v>37</v>
      </c>
      <c r="E12" s="62">
        <v>2</v>
      </c>
      <c r="F12" s="63" t="s">
        <v>55</v>
      </c>
      <c r="G12" s="62">
        <f t="shared" si="0"/>
        <v>1220</v>
      </c>
      <c r="H12" s="62">
        <v>40</v>
      </c>
      <c r="I12" s="62">
        <v>1020</v>
      </c>
      <c r="J12" s="64">
        <f>'[1]D.A CUM CN LÀNG NGHỀ'!N41</f>
        <v>406</v>
      </c>
      <c r="K12" s="64">
        <f t="shared" si="1"/>
        <v>614</v>
      </c>
      <c r="L12" s="64" t="s">
        <v>49</v>
      </c>
      <c r="M12" s="62">
        <v>614.29999999999995</v>
      </c>
      <c r="N12" s="62">
        <f>1020-406</f>
        <v>614</v>
      </c>
      <c r="O12" s="65">
        <f t="shared" si="2"/>
        <v>0.29999999999995453</v>
      </c>
      <c r="P12" s="26">
        <v>109</v>
      </c>
      <c r="Q12" s="26">
        <v>63</v>
      </c>
      <c r="R12" s="26">
        <v>614.29999999999995</v>
      </c>
      <c r="S12" s="28" t="s">
        <v>39</v>
      </c>
      <c r="T12" s="29">
        <f t="shared" si="3"/>
        <v>1</v>
      </c>
      <c r="U12" s="11">
        <f t="shared" si="11"/>
        <v>12</v>
      </c>
      <c r="V12" s="15" t="s">
        <v>56</v>
      </c>
      <c r="W12" s="11">
        <v>4</v>
      </c>
      <c r="X12" s="19">
        <f t="shared" si="4"/>
        <v>55260000</v>
      </c>
      <c r="Y12" s="17">
        <f t="shared" si="5"/>
        <v>6140000</v>
      </c>
      <c r="Z12" s="19">
        <f t="shared" si="6"/>
        <v>165780000</v>
      </c>
      <c r="AA12" s="17"/>
      <c r="AB12" s="17"/>
      <c r="AC12" s="17"/>
      <c r="AD12" s="17">
        <f t="shared" si="7"/>
        <v>0</v>
      </c>
      <c r="AE12" s="19">
        <f t="shared" si="8"/>
        <v>24480000</v>
      </c>
      <c r="AF12" s="20">
        <f t="shared" si="9"/>
        <v>6140000</v>
      </c>
      <c r="AG12" s="21">
        <f t="shared" si="10"/>
        <v>257800000</v>
      </c>
      <c r="AH12" s="30">
        <v>233102000</v>
      </c>
      <c r="AI12" s="31" t="s">
        <v>41</v>
      </c>
    </row>
    <row r="13" spans="1:35" s="38" customFormat="1" ht="24.75" customHeight="1" x14ac:dyDescent="0.25">
      <c r="A13" s="33"/>
      <c r="B13" s="33"/>
      <c r="C13" s="34" t="s">
        <v>57</v>
      </c>
      <c r="D13" s="35"/>
      <c r="E13" s="66"/>
      <c r="F13" s="66"/>
      <c r="G13" s="67"/>
      <c r="H13" s="67"/>
      <c r="I13" s="67"/>
      <c r="J13" s="66"/>
      <c r="K13" s="36"/>
      <c r="L13" s="36"/>
      <c r="M13" s="73">
        <f>SUM(M7:M12)</f>
        <v>3526.8</v>
      </c>
      <c r="N13" s="73">
        <f>SUM(N7:N12)</f>
        <v>3517</v>
      </c>
      <c r="O13" s="73">
        <f>SUM(O7:O12)</f>
        <v>9.7999999999998408</v>
      </c>
      <c r="P13" s="36"/>
      <c r="Q13" s="36"/>
      <c r="R13" s="36" t="e">
        <f>+#REF!+#REF!</f>
        <v>#REF!</v>
      </c>
      <c r="S13" s="36"/>
      <c r="T13" s="36"/>
      <c r="U13" s="36">
        <f>SUM(U7:U12)</f>
        <v>65</v>
      </c>
      <c r="V13" s="36"/>
      <c r="W13" s="36">
        <f>SUM(W7:W12)</f>
        <v>34</v>
      </c>
      <c r="X13" s="36">
        <f>SUM(X7:X12)</f>
        <v>316530000</v>
      </c>
      <c r="Y13" s="36">
        <f>SUM(Y7:Y12)</f>
        <v>35170000</v>
      </c>
      <c r="Z13" s="36">
        <f>SUM(Z7:Z12)</f>
        <v>949590000</v>
      </c>
      <c r="AA13" s="36"/>
      <c r="AB13" s="36"/>
      <c r="AC13" s="36">
        <f>SUM(AC7:AC12)</f>
        <v>15300000</v>
      </c>
      <c r="AD13" s="36">
        <f>SUM(AD7:AD12)</f>
        <v>0</v>
      </c>
      <c r="AE13" s="36">
        <f>SUM(AE7:AE12)</f>
        <v>171360000</v>
      </c>
      <c r="AF13" s="36">
        <f>SUM(AF7:AF12)</f>
        <v>35170000</v>
      </c>
      <c r="AG13" s="36">
        <f>SUM(AG7:AG12)</f>
        <v>1523120000</v>
      </c>
      <c r="AH13" s="37"/>
    </row>
    <row r="15" spans="1:35" x14ac:dyDescent="0.3">
      <c r="AF15" s="74">
        <v>0.02</v>
      </c>
      <c r="AG15" s="72">
        <f>AG13*2%</f>
        <v>30462400</v>
      </c>
    </row>
    <row r="16" spans="1:35" x14ac:dyDescent="0.3">
      <c r="AF16" s="68"/>
      <c r="AG16" s="72"/>
    </row>
    <row r="17" spans="32:33" x14ac:dyDescent="0.3">
      <c r="AF17" s="41" t="s">
        <v>22</v>
      </c>
      <c r="AG17" s="75">
        <f>AG13+AG15</f>
        <v>1553582400</v>
      </c>
    </row>
  </sheetData>
  <mergeCells count="27">
    <mergeCell ref="A1:AH1"/>
    <mergeCell ref="A2:AH2"/>
    <mergeCell ref="A3:AH3"/>
    <mergeCell ref="A5:A6"/>
    <mergeCell ref="B5:B6"/>
    <mergeCell ref="C5:C6"/>
    <mergeCell ref="D5:D6"/>
    <mergeCell ref="E5:E6"/>
    <mergeCell ref="F5:F6"/>
    <mergeCell ref="G5:G6"/>
    <mergeCell ref="Y5:Y6"/>
    <mergeCell ref="H5:H6"/>
    <mergeCell ref="I5:I6"/>
    <mergeCell ref="J5:J6"/>
    <mergeCell ref="K5:K6"/>
    <mergeCell ref="L5:R5"/>
    <mergeCell ref="S5:S6"/>
    <mergeCell ref="T5:T6"/>
    <mergeCell ref="U5:U6"/>
    <mergeCell ref="V5:V6"/>
    <mergeCell ref="W5:W6"/>
    <mergeCell ref="X5:X6"/>
    <mergeCell ref="Z5:Z6"/>
    <mergeCell ref="AA5:AE5"/>
    <mergeCell ref="AF5:AF6"/>
    <mergeCell ref="AG5:AG6"/>
    <mergeCell ref="AH5:AH6"/>
  </mergeCells>
  <conditionalFormatting sqref="P6:R6">
    <cfRule type="expression" dxfId="0" priority="1">
      <formula>"mod(row();2)"</formula>
    </cfRule>
  </conditionalFormatting>
  <pageMargins left="0.7" right="0.2" top="0.53" bottom="0.75" header="0.59" footer="0.3"/>
  <pageSetup paperSize="9" scale="50"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DS phê duyệt đợt 1 (1)</vt:lpstr>
      <vt:lpstr>DS phê duyệt đợt 1</vt:lpstr>
      <vt:lpstr>'DS phê duyệt đợt 1'!Print_Area</vt:lpstr>
      <vt:lpstr>'DS phê duyệt đợt 1 (1)'!Print_Area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số 02 Chi nhánh vpdkdd</dc:creator>
  <cp:lastModifiedBy>Ha Nguyen</cp:lastModifiedBy>
  <dcterms:created xsi:type="dcterms:W3CDTF">2026-10-14T08:12:24Z</dcterms:created>
  <dcterms:modified xsi:type="dcterms:W3CDTF">2026-10-15T09:44:51Z</dcterms:modified>
</cp:coreProperties>
</file>